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firstSheet="30" activeTab="34"/>
  </bookViews>
  <sheets>
    <sheet name="2 квартал 2015г." sheetId="1" r:id="rId1"/>
    <sheet name="3 квартал 2015г." sheetId="2" r:id="rId2"/>
    <sheet name="4 квартал 2015г." sheetId="3" r:id="rId3"/>
    <sheet name="1 квартал 2016г." sheetId="4" r:id="rId4"/>
    <sheet name="2 квартал 2016г." sheetId="5" r:id="rId5"/>
    <sheet name="3 квартал 2016г." sheetId="6" r:id="rId6"/>
    <sheet name="4 квартал 2016г." sheetId="7" r:id="rId7"/>
    <sheet name="1 квартал 2017г." sheetId="8" r:id="rId8"/>
    <sheet name="2 квартал 2017г." sheetId="9" r:id="rId9"/>
    <sheet name="3 квартал 2017г." sheetId="10" r:id="rId10"/>
    <sheet name="4 квартал 2017г." sheetId="11" r:id="rId11"/>
    <sheet name="1 квартал 2018г." sheetId="12" r:id="rId12"/>
    <sheet name="2 квартал 2018г." sheetId="13" r:id="rId13"/>
    <sheet name="3квартал2018г." sheetId="14" r:id="rId14"/>
    <sheet name="4квартал2018г." sheetId="15" r:id="rId15"/>
    <sheet name="1квартал2019г." sheetId="16" r:id="rId16"/>
    <sheet name="2квартал2019г." sheetId="17" r:id="rId17"/>
    <sheet name="3квартала2019г." sheetId="18" r:id="rId18"/>
    <sheet name="4квартал2019г." sheetId="19" r:id="rId19"/>
    <sheet name="1квартал2020г." sheetId="20" r:id="rId20"/>
    <sheet name="2 квартал 2020г." sheetId="21" r:id="rId21"/>
    <sheet name="3 квартал 2020г" sheetId="22" r:id="rId22"/>
    <sheet name="4 квартал 2020г. " sheetId="23" r:id="rId23"/>
    <sheet name="1 квартал 2021г" sheetId="24" r:id="rId24"/>
    <sheet name="2 квартал 2021г" sheetId="25" r:id="rId25"/>
    <sheet name="3 квартал 2021г" sheetId="26" r:id="rId26"/>
    <sheet name="4 квартал 2021г" sheetId="27" r:id="rId27"/>
    <sheet name="1 квартал 2022г " sheetId="28" r:id="rId28"/>
    <sheet name="2 квартал 2022г  " sheetId="29" r:id="rId29"/>
    <sheet name="3 квартал 2022г   " sheetId="30" r:id="rId30"/>
    <sheet name="4 квартал 2022г    " sheetId="31" r:id="rId31"/>
    <sheet name="1 квартал 2023 г   " sheetId="32" r:id="rId32"/>
    <sheet name="2 квартал 2023 г   " sheetId="33" r:id="rId33"/>
    <sheet name="3 квартал 2023 г" sheetId="34" r:id="rId34"/>
    <sheet name="4 квартал 2023 г" sheetId="35" r:id="rId35"/>
  </sheets>
  <definedNames/>
  <calcPr fullCalcOnLoad="1"/>
</workbook>
</file>

<file path=xl/sharedStrings.xml><?xml version="1.0" encoding="utf-8"?>
<sst xmlns="http://schemas.openxmlformats.org/spreadsheetml/2006/main" count="1818" uniqueCount="86">
  <si>
    <t>Форма 1.12</t>
  </si>
  <si>
    <t xml:space="preserve">Информация о наличии объёма сводной </t>
  </si>
  <si>
    <t>для технологического присоединения потребителей</t>
  </si>
  <si>
    <t xml:space="preserve">трансформаторной мощности по подстанциям и распределительным </t>
  </si>
  <si>
    <t>пунктам напряжением ниже 35кВ</t>
  </si>
  <si>
    <t>Наименование регулируемой организации</t>
  </si>
  <si>
    <t>ИНН</t>
  </si>
  <si>
    <t>Местонахождение (фактический адрес)</t>
  </si>
  <si>
    <t>г.Калуга, ул.Азаровская,д.18 офис 124</t>
  </si>
  <si>
    <t xml:space="preserve">Информация о наличии объёма свободной для технологического присоединения потребителей трансформаторной мощности </t>
  </si>
  <si>
    <t>по подстанциям и распределительным пунктам напряжением ниже 35кВ за 2 квартал 2015 года</t>
  </si>
  <si>
    <t>№</t>
  </si>
  <si>
    <t>п/п</t>
  </si>
  <si>
    <t>Характеристики подстанции</t>
  </si>
  <si>
    <t>наименование</t>
  </si>
  <si>
    <t>месторасположение</t>
  </si>
  <si>
    <t>(адрес)</t>
  </si>
  <si>
    <t>количество</t>
  </si>
  <si>
    <t>трансформаторов,</t>
  </si>
  <si>
    <t>штук</t>
  </si>
  <si>
    <t>мощность,кВА</t>
  </si>
  <si>
    <t>Объём свободной мощности по уровням напряжения,</t>
  </si>
  <si>
    <t xml:space="preserve">с учётом поданных заявок и </t>
  </si>
  <si>
    <t>заключенных договоров на</t>
  </si>
  <si>
    <t xml:space="preserve"> технологическое </t>
  </si>
  <si>
    <t>присоединение</t>
  </si>
  <si>
    <t>на текущий период</t>
  </si>
  <si>
    <t>ТП-1</t>
  </si>
  <si>
    <t>ТП-2</t>
  </si>
  <si>
    <t>ТП-3</t>
  </si>
  <si>
    <t>ТП-4</t>
  </si>
  <si>
    <t>ТП-5</t>
  </si>
  <si>
    <t>ТП-6</t>
  </si>
  <si>
    <t>ул.Верховая</t>
  </si>
  <si>
    <t>Итого</t>
  </si>
  <si>
    <t>ПАО "МРСК Центра и Приволжья" и ООО "СЕТЕВАЯ КОМПАНИЯ"</t>
  </si>
  <si>
    <t xml:space="preserve">* Выделенная максимальная мощность 5 000 кВт согласно акта разграничения границ балансовой принадлежности сторон </t>
  </si>
  <si>
    <t>тыс.кВт (0,4кВ)</t>
  </si>
  <si>
    <t>по подстанциям и распределительным пунктам напряжением ниже 35кВ за 3 квартал 2015 года</t>
  </si>
  <si>
    <t>по подстанциям и распределительным пунктам напряжением ниже 35кВ за 4 квартал 2015 года</t>
  </si>
  <si>
    <t>ООО "СЕТЕВАЯ КОМПАНИЯ"</t>
  </si>
  <si>
    <t>по подстанциям и распределительным пунктам напряжением ниже 35кВ за 1 квартал 2016 года</t>
  </si>
  <si>
    <t>по подстанциям и распределительным пунктам напряжением ниже 35кВ за 2 квартал 2016 года</t>
  </si>
  <si>
    <t>по подстанциям и распределительным пунктам напряжением ниже 35кВ за 3 квартал 2016 года</t>
  </si>
  <si>
    <t>по подстанциям и распределительным пунктам напряжением ниже 35кВ за 4 квартал 2016 года</t>
  </si>
  <si>
    <t>по подстанциям и распределительным пунктам напряжением ниже 35кВ за 1 квартал 2017 года</t>
  </si>
  <si>
    <t>по подстанциям и распределительным пунктам напряжением ниже 35кВ за 2 квартал 2017 года</t>
  </si>
  <si>
    <t>ТП-7</t>
  </si>
  <si>
    <t>ТП-8</t>
  </si>
  <si>
    <t>ТП-9</t>
  </si>
  <si>
    <t xml:space="preserve">* Выделенная максимальная мощность 8 500 кВт согласно акта разграничения границ балансовой принадлежности сторон </t>
  </si>
  <si>
    <t>по подстанциям и распределительным пунктам напряжением ниже 35кВ за 3 квартал 2017 года</t>
  </si>
  <si>
    <t>по подстанциям и распределительным пунктам напряжением ниже 35кВ за 4 квартал 2017 года</t>
  </si>
  <si>
    <t>по подстанциям и распределительным пунктам напряжением ниже 35кВ за 1 квартал 2018 года</t>
  </si>
  <si>
    <t>по подстанциям и распределительным пунктам напряжением ниже 35кВ за 2 квартал 2018 года</t>
  </si>
  <si>
    <t>по подстанциям и распределительным пунктам напряжением ниже 35кВ за 4 квартал 2018 года</t>
  </si>
  <si>
    <t>по подстанциям и распределительным пунктам напряжением ниже 35кВ за 3 квартал 2018 года</t>
  </si>
  <si>
    <t>по подстанциям и распределительным пунктам напряжением ниже 35кВ за 1 квартал 2019 года</t>
  </si>
  <si>
    <t>по подстанциям и распределительным пунктам напряжением ниже 35кВ за 2 квартал 2019 года</t>
  </si>
  <si>
    <t>по подстанциям и распределительным пунктам напряжением ниже 35кВ за 3 квартал 2019 года</t>
  </si>
  <si>
    <t>по подстанциям и распределительным пунктам напряжением ниже 35кВ за 4 квартал 2019 года</t>
  </si>
  <si>
    <t>ТП-10</t>
  </si>
  <si>
    <t>ТП-11</t>
  </si>
  <si>
    <t>ТП-12</t>
  </si>
  <si>
    <t>г.Калуга, ул.Братьев Луканиных,д.1, пом.22</t>
  </si>
  <si>
    <t>по подстанциям и распределительным пунктам напряжением ниже 35кВ за 1 квартал 2020 года</t>
  </si>
  <si>
    <t>по подстанциям и распределительным пунктам напряжением ниже 35кВ за 2 квартал 2020 года</t>
  </si>
  <si>
    <t>по подстанциям и распределительным пунктам напряжением ниже 35кВ за 3 квартал 2020 года</t>
  </si>
  <si>
    <t>кВт (0,4кВ)</t>
  </si>
  <si>
    <r>
      <t xml:space="preserve">по подстанциям и распределительным пунктам напряжением ниже 35кВ за </t>
    </r>
    <r>
      <rPr>
        <b/>
        <sz val="14"/>
        <color indexed="8"/>
        <rFont val="Times New Roman"/>
        <family val="1"/>
      </rPr>
      <t>2 квартал 2021 года</t>
    </r>
  </si>
  <si>
    <r>
      <t xml:space="preserve">по подстанциям и распределительным пунктам напряжением ниже 35кВ за </t>
    </r>
    <r>
      <rPr>
        <b/>
        <sz val="14"/>
        <color indexed="8"/>
        <rFont val="Times New Roman"/>
        <family val="1"/>
      </rPr>
      <t>1 квартал 2021 года</t>
    </r>
  </si>
  <si>
    <r>
      <t>по подстанциям и распределительным пунктам напряжением ниже 35кВ за</t>
    </r>
    <r>
      <rPr>
        <b/>
        <sz val="14"/>
        <color indexed="8"/>
        <rFont val="Times New Roman"/>
        <family val="1"/>
      </rPr>
      <t xml:space="preserve"> 4 квартал 2020 года</t>
    </r>
  </si>
  <si>
    <r>
      <t>по подстанциям и распределительным пунктам напряжением ниже 35кВ за 3</t>
    </r>
    <r>
      <rPr>
        <b/>
        <sz val="14"/>
        <color indexed="8"/>
        <rFont val="Times New Roman"/>
        <family val="1"/>
      </rPr>
      <t xml:space="preserve"> квартал 2021 года</t>
    </r>
  </si>
  <si>
    <r>
      <t>по подстанциям и распределительным пунктам напряжением ниже 35кВ за 4</t>
    </r>
    <r>
      <rPr>
        <b/>
        <sz val="14"/>
        <color indexed="8"/>
        <rFont val="Times New Roman"/>
        <family val="1"/>
      </rPr>
      <t xml:space="preserve"> квартал 2021 года</t>
    </r>
  </si>
  <si>
    <r>
      <t>по подстанциям и распределительным пунктам напряжением ниже 35кВ за 1</t>
    </r>
    <r>
      <rPr>
        <b/>
        <sz val="14"/>
        <color indexed="8"/>
        <rFont val="Times New Roman"/>
        <family val="1"/>
      </rPr>
      <t xml:space="preserve"> квартал 2022 года</t>
    </r>
  </si>
  <si>
    <r>
      <t xml:space="preserve">по подстанциям и распределительным пунктам напряжением ниже 35кВ за </t>
    </r>
    <r>
      <rPr>
        <b/>
        <sz val="14"/>
        <color indexed="8"/>
        <rFont val="Times New Roman"/>
        <family val="1"/>
      </rPr>
      <t>2</t>
    </r>
    <r>
      <rPr>
        <b/>
        <sz val="14"/>
        <color indexed="8"/>
        <rFont val="Times New Roman"/>
        <family val="1"/>
      </rPr>
      <t xml:space="preserve"> квартал 2022 года</t>
    </r>
  </si>
  <si>
    <t>ТП-13</t>
  </si>
  <si>
    <t>ТП-14</t>
  </si>
  <si>
    <r>
      <t xml:space="preserve">по подстанциям и распределительным пунктам напряжением ниже 35кВ за </t>
    </r>
    <r>
      <rPr>
        <b/>
        <sz val="14"/>
        <color indexed="8"/>
        <rFont val="Times New Roman"/>
        <family val="1"/>
      </rPr>
      <t>3</t>
    </r>
    <r>
      <rPr>
        <b/>
        <sz val="14"/>
        <color indexed="8"/>
        <rFont val="Times New Roman"/>
        <family val="1"/>
      </rPr>
      <t xml:space="preserve"> квартал 2022 года</t>
    </r>
  </si>
  <si>
    <r>
      <t>по подстанциям и распределительным пунктам напряжением ниже 35кВ за 4</t>
    </r>
    <r>
      <rPr>
        <b/>
        <sz val="14"/>
        <color indexed="8"/>
        <rFont val="Times New Roman"/>
        <family val="1"/>
      </rPr>
      <t xml:space="preserve"> квартал 2022 года</t>
    </r>
  </si>
  <si>
    <t>ТП-15</t>
  </si>
  <si>
    <r>
      <t>по подстанциям и распределительным пунктам напряжением ниже 35кВ за 1</t>
    </r>
    <r>
      <rPr>
        <b/>
        <sz val="14"/>
        <color indexed="8"/>
        <rFont val="Times New Roman"/>
        <family val="1"/>
      </rPr>
      <t xml:space="preserve"> квартал 2023 года</t>
    </r>
  </si>
  <si>
    <r>
      <t>по подстанциям и распределительным пунктам напряжением ниже 35кВ за 2</t>
    </r>
    <r>
      <rPr>
        <b/>
        <sz val="14"/>
        <color indexed="8"/>
        <rFont val="Times New Roman"/>
        <family val="1"/>
      </rPr>
      <t xml:space="preserve"> квартал 2023 года</t>
    </r>
  </si>
  <si>
    <r>
      <t>по подстанциям и распределительным пунктам напряжением ниже 35кВ за 3</t>
    </r>
    <r>
      <rPr>
        <b/>
        <sz val="14"/>
        <color indexed="8"/>
        <rFont val="Times New Roman"/>
        <family val="1"/>
      </rPr>
      <t xml:space="preserve"> квартал 2023 года</t>
    </r>
  </si>
  <si>
    <t>ТП-16</t>
  </si>
  <si>
    <t>ТП-17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</si>
</sst>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000"/>
    <numFmt numFmtId="166" formatCode="0.0000000"/>
    <numFmt numFmtId="167" formatCode="0.00000"/>
    <numFmt numFmtId="168" formatCode="0.0000"/>
    <numFmt numFmtId="169" formatCode="0.000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8" fillId="0" borderId="0" xfId="0" applyFont="1" applyAlignment="1">
      <alignment horizontal="right"/>
    </xf>
    <xf numFmtId="0" fontId="38" fillId="0" borderId="21" xfId="0" applyFont="1" applyBorder="1" applyAlignment="1">
      <alignment horizontal="center"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horizontal="center"/>
    </xf>
    <xf numFmtId="0" fontId="38" fillId="0" borderId="21" xfId="0" applyFont="1" applyBorder="1" applyAlignment="1">
      <alignment/>
    </xf>
    <xf numFmtId="0" fontId="37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164" fontId="38" fillId="0" borderId="21" xfId="0" applyNumberFormat="1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164" fontId="37" fillId="0" borderId="0" xfId="0" applyNumberFormat="1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164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164" fontId="37" fillId="0" borderId="21" xfId="0" applyNumberFormat="1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33" borderId="21" xfId="0" applyFont="1" applyFill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5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0" xfId="0" applyFont="1" applyAlignment="1">
      <alignment horizontal="center"/>
    </xf>
    <xf numFmtId="1" fontId="37" fillId="0" borderId="21" xfId="0" applyNumberFormat="1" applyFont="1" applyBorder="1" applyAlignment="1">
      <alignment horizontal="center"/>
    </xf>
    <xf numFmtId="1" fontId="38" fillId="0" borderId="2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7">
      <selection activeCell="A5" sqref="A5:G5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8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10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13"/>
      <c r="C13" s="14"/>
      <c r="D13" s="14"/>
      <c r="E13" s="12"/>
      <c r="F13" s="163" t="s">
        <v>37</v>
      </c>
      <c r="G13" s="164"/>
    </row>
    <row r="14" spans="1:7" ht="18">
      <c r="A14" s="8"/>
      <c r="B14" s="10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12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7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f>E19-658</f>
        <v>1342</v>
      </c>
      <c r="G19" s="18">
        <f>E19-658</f>
        <v>1342</v>
      </c>
    </row>
    <row r="20" spans="1:7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f>E20-246</f>
        <v>1754</v>
      </c>
      <c r="G20" s="18">
        <f>E20-389</f>
        <v>1611</v>
      </c>
    </row>
    <row r="21" spans="1:7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f>E21-409</f>
        <v>1591</v>
      </c>
      <c r="G21" s="18">
        <f>E21-463</f>
        <v>1537</v>
      </c>
    </row>
    <row r="22" spans="1:7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f>E22-0</f>
        <v>2000</v>
      </c>
      <c r="G22" s="18">
        <f>E22-154</f>
        <v>1846</v>
      </c>
    </row>
    <row r="23" spans="1:7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f>E23</f>
        <v>2000</v>
      </c>
      <c r="G23" s="18">
        <f>E23-0</f>
        <v>2000</v>
      </c>
    </row>
    <row r="24" spans="1:7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f>E24</f>
        <v>2000</v>
      </c>
      <c r="G24" s="18">
        <f>E24</f>
        <v>2000</v>
      </c>
    </row>
    <row r="25" spans="1:7" ht="18">
      <c r="A25" s="19" t="s">
        <v>34</v>
      </c>
      <c r="B25" s="19"/>
      <c r="C25" s="19"/>
      <c r="D25" s="19"/>
      <c r="E25" s="16">
        <f>E19+E20+E21+E22+E23+E24</f>
        <v>12000</v>
      </c>
      <c r="F25" s="16">
        <f>F19+F20+F21+F22+F23+F24</f>
        <v>10687</v>
      </c>
      <c r="G25" s="16">
        <f>G19+G20+G21+G22+G23+G24</f>
        <v>10336</v>
      </c>
    </row>
    <row r="26" spans="1:7" ht="18">
      <c r="A26" s="20"/>
      <c r="B26" s="20"/>
      <c r="C26" s="20"/>
      <c r="D26" s="20"/>
      <c r="E26" s="20"/>
      <c r="F26" s="20"/>
      <c r="G26" s="20"/>
    </row>
    <row r="27" spans="1:7" ht="18">
      <c r="A27" s="21" t="s">
        <v>36</v>
      </c>
      <c r="B27" s="20"/>
      <c r="C27" s="20"/>
      <c r="D27" s="20"/>
      <c r="E27" s="20"/>
      <c r="F27" s="20"/>
      <c r="G27" s="20"/>
    </row>
    <row r="28" spans="1:7" ht="18">
      <c r="A28" s="21" t="s">
        <v>35</v>
      </c>
      <c r="B28" s="20"/>
      <c r="C28" s="20"/>
      <c r="D28" s="20"/>
      <c r="E28" s="20"/>
      <c r="F28" s="20"/>
      <c r="G28" s="20"/>
    </row>
    <row r="29" spans="1:7" ht="18">
      <c r="A29" s="20"/>
      <c r="B29" s="20"/>
      <c r="C29" s="20"/>
      <c r="D29" s="20"/>
      <c r="E29" s="20"/>
      <c r="F29" s="20"/>
      <c r="G29" s="20"/>
    </row>
    <row r="30" spans="1:7" ht="18">
      <c r="A30" s="20"/>
      <c r="B30" s="20"/>
      <c r="C30" s="20"/>
      <c r="D30" s="20"/>
      <c r="E30" s="20"/>
      <c r="F30" s="20"/>
      <c r="G30" s="20"/>
    </row>
    <row r="31" spans="1:7" ht="18">
      <c r="A31" s="20"/>
      <c r="B31" s="20"/>
      <c r="C31" s="20"/>
      <c r="D31" s="20"/>
      <c r="E31" s="20"/>
      <c r="F31" s="20"/>
      <c r="G31" s="20"/>
    </row>
    <row r="32" spans="1:7" ht="18">
      <c r="A32" s="20"/>
      <c r="B32" s="20"/>
      <c r="C32" s="20"/>
      <c r="D32" s="20"/>
      <c r="E32" s="20"/>
      <c r="F32" s="20"/>
      <c r="G32" s="20"/>
    </row>
    <row r="33" spans="1:7" ht="18">
      <c r="A33" s="20"/>
      <c r="B33" s="20"/>
      <c r="C33" s="20"/>
      <c r="D33" s="20"/>
      <c r="E33" s="20"/>
      <c r="F33" s="20"/>
      <c r="G33" s="20"/>
    </row>
  </sheetData>
  <sheetProtection/>
  <mergeCells count="13">
    <mergeCell ref="E8:G8"/>
    <mergeCell ref="E9:G9"/>
    <mergeCell ref="A2:G2"/>
    <mergeCell ref="A3:G3"/>
    <mergeCell ref="A4:G4"/>
    <mergeCell ref="A5:G5"/>
    <mergeCell ref="E7:G7"/>
    <mergeCell ref="B12:E12"/>
    <mergeCell ref="F14:F17"/>
    <mergeCell ref="F12:G12"/>
    <mergeCell ref="F13:G13"/>
    <mergeCell ref="A10:G10"/>
    <mergeCell ref="A11:G11"/>
  </mergeCells>
  <printOptions/>
  <pageMargins left="0.11811023622047245" right="0.11811023622047245" top="0.35433070866141736" bottom="0.1968503937007874" header="0.31496062992125984" footer="0.31496062992125984"/>
  <pageSetup fitToHeight="1" fitToWidth="1" horizontalDpi="180" verticalDpi="18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9">
      <selection activeCell="H25" sqref="H25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8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51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56"/>
      <c r="C13" s="58"/>
      <c r="D13" s="58"/>
      <c r="E13" s="57"/>
      <c r="F13" s="163" t="s">
        <v>37</v>
      </c>
      <c r="G13" s="164"/>
    </row>
    <row r="14" spans="1:7" ht="18">
      <c r="A14" s="8"/>
      <c r="B14" s="55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57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7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f>'2 квартал 2017г.'!G19</f>
        <v>1237</v>
      </c>
      <c r="G19" s="18">
        <f>F19</f>
        <v>1237</v>
      </c>
    </row>
    <row r="20" spans="1:7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f>'2 квартал 2017г.'!G20</f>
        <v>1273</v>
      </c>
      <c r="G20" s="18">
        <f>F20</f>
        <v>1273</v>
      </c>
    </row>
    <row r="21" spans="1:7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f>'2 квартал 2017г.'!G21</f>
        <v>1382</v>
      </c>
      <c r="G21" s="18">
        <f>F21</f>
        <v>1382</v>
      </c>
    </row>
    <row r="22" spans="1:7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f>'2 квартал 2017г.'!G22</f>
        <v>1349</v>
      </c>
      <c r="G22" s="18">
        <f>F22</f>
        <v>1349</v>
      </c>
    </row>
    <row r="23" spans="1:7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f>'2 квартал 2017г.'!G23</f>
        <v>1273</v>
      </c>
      <c r="G23" s="18">
        <f>F23</f>
        <v>1273</v>
      </c>
    </row>
    <row r="24" spans="1:7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f>'2 квартал 2017г.'!G24</f>
        <v>1430</v>
      </c>
      <c r="G24" s="18">
        <f>F24-72-52</f>
        <v>1306</v>
      </c>
    </row>
    <row r="25" spans="1:7" ht="18">
      <c r="A25" s="17">
        <v>7</v>
      </c>
      <c r="B25" s="17" t="s">
        <v>47</v>
      </c>
      <c r="C25" s="17" t="s">
        <v>33</v>
      </c>
      <c r="D25" s="18">
        <v>2</v>
      </c>
      <c r="E25" s="18">
        <f>1250*2</f>
        <v>2500</v>
      </c>
      <c r="F25" s="18">
        <f>'2 квартал 2017г.'!G25</f>
        <v>1771</v>
      </c>
      <c r="G25" s="18">
        <f>F25-111</f>
        <v>1660</v>
      </c>
    </row>
    <row r="26" spans="1:7" ht="18">
      <c r="A26" s="17">
        <v>8</v>
      </c>
      <c r="B26" s="17" t="s">
        <v>48</v>
      </c>
      <c r="C26" s="17" t="s">
        <v>33</v>
      </c>
      <c r="D26" s="18">
        <v>2</v>
      </c>
      <c r="E26" s="18">
        <f>1000*2</f>
        <v>2000</v>
      </c>
      <c r="F26" s="18">
        <f>'2 квартал 2017г.'!G26</f>
        <v>2000</v>
      </c>
      <c r="G26" s="18">
        <f>F26-53-75-100-53-70-90-70-70</f>
        <v>1419</v>
      </c>
    </row>
    <row r="27" spans="1:7" ht="18">
      <c r="A27" s="17">
        <v>9</v>
      </c>
      <c r="B27" s="17" t="s">
        <v>49</v>
      </c>
      <c r="C27" s="17" t="s">
        <v>33</v>
      </c>
      <c r="D27" s="18">
        <v>2</v>
      </c>
      <c r="E27" s="18">
        <f>1000*2</f>
        <v>2000</v>
      </c>
      <c r="F27" s="18">
        <f>'2 квартал 2017г.'!G27</f>
        <v>2000</v>
      </c>
      <c r="G27" s="18">
        <f>F27-90-70-35</f>
        <v>1805</v>
      </c>
    </row>
    <row r="28" spans="1:7" ht="18">
      <c r="A28" s="19" t="s">
        <v>34</v>
      </c>
      <c r="B28" s="19"/>
      <c r="C28" s="19"/>
      <c r="D28" s="19"/>
      <c r="E28" s="16">
        <f>SUM(E19:E27)</f>
        <v>18500</v>
      </c>
      <c r="F28" s="16">
        <f>SUM(F19:F27)</f>
        <v>13715</v>
      </c>
      <c r="G28" s="16">
        <f>SUM(G19:G27)</f>
        <v>12704</v>
      </c>
    </row>
    <row r="29" spans="1:7" ht="18">
      <c r="A29" s="20"/>
      <c r="B29" s="20"/>
      <c r="C29" s="20"/>
      <c r="D29" s="20"/>
      <c r="E29" s="20"/>
      <c r="F29" s="20"/>
      <c r="G29" s="20"/>
    </row>
    <row r="30" spans="1:7" ht="18">
      <c r="A30" s="21" t="s">
        <v>50</v>
      </c>
      <c r="B30" s="20"/>
      <c r="C30" s="20"/>
      <c r="D30" s="20"/>
      <c r="E30" s="20"/>
      <c r="F30" s="20"/>
      <c r="G30" s="20"/>
    </row>
    <row r="31" spans="1:7" ht="18">
      <c r="A31" s="21" t="s">
        <v>35</v>
      </c>
      <c r="B31" s="20"/>
      <c r="C31" s="20"/>
      <c r="D31" s="20"/>
      <c r="E31" s="20"/>
      <c r="F31" s="20"/>
      <c r="G31" s="20"/>
    </row>
    <row r="32" spans="1:7" ht="18">
      <c r="A32" s="20"/>
      <c r="B32" s="20"/>
      <c r="C32" s="20"/>
      <c r="D32" s="20"/>
      <c r="E32" s="20"/>
      <c r="F32" s="20"/>
      <c r="G32" s="20"/>
    </row>
    <row r="33" spans="1:7" ht="18">
      <c r="A33" s="20"/>
      <c r="B33" s="20"/>
      <c r="C33" s="20"/>
      <c r="D33" s="20"/>
      <c r="E33" s="20"/>
      <c r="F33" s="20"/>
      <c r="G33" s="20"/>
    </row>
    <row r="34" spans="1:7" ht="18">
      <c r="A34" s="20"/>
      <c r="B34" s="20"/>
      <c r="C34" s="20"/>
      <c r="D34" s="20"/>
      <c r="E34" s="20"/>
      <c r="F34" s="20"/>
      <c r="G34" s="20"/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0"/>
      <c r="B36" s="20"/>
      <c r="C36" s="20"/>
      <c r="D36" s="20"/>
      <c r="E36" s="20"/>
      <c r="F36" s="20"/>
      <c r="G36" s="20"/>
    </row>
  </sheetData>
  <sheetProtection/>
  <mergeCells count="13">
    <mergeCell ref="F14:F17"/>
    <mergeCell ref="E9:G9"/>
    <mergeCell ref="A10:G10"/>
    <mergeCell ref="A11:G11"/>
    <mergeCell ref="B12:E12"/>
    <mergeCell ref="F12:G12"/>
    <mergeCell ref="F13:G13"/>
    <mergeCell ref="A2:G2"/>
    <mergeCell ref="A3:G3"/>
    <mergeCell ref="A4:G4"/>
    <mergeCell ref="A5:G5"/>
    <mergeCell ref="E7:G7"/>
    <mergeCell ref="E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2">
      <selection activeCell="A21" sqref="A1:IV16384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8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52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60"/>
      <c r="C13" s="62"/>
      <c r="D13" s="62"/>
      <c r="E13" s="61"/>
      <c r="F13" s="163" t="s">
        <v>37</v>
      </c>
      <c r="G13" s="164"/>
    </row>
    <row r="14" spans="1:7" ht="18">
      <c r="A14" s="8"/>
      <c r="B14" s="59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61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7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f>'3 квартал 2017г.'!G19</f>
        <v>1237</v>
      </c>
      <c r="G19" s="18">
        <f>F19</f>
        <v>1237</v>
      </c>
    </row>
    <row r="20" spans="1:7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f>'3 квартал 2017г.'!G20</f>
        <v>1273</v>
      </c>
      <c r="G20" s="18">
        <f>F20</f>
        <v>1273</v>
      </c>
    </row>
    <row r="21" spans="1:7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f>'3 квартал 2017г.'!G21</f>
        <v>1382</v>
      </c>
      <c r="G21" s="18">
        <f>F21-15-3-24</f>
        <v>1340</v>
      </c>
    </row>
    <row r="22" spans="1:7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f>'3 квартал 2017г.'!G22</f>
        <v>1349</v>
      </c>
      <c r="G22" s="18">
        <f>F22-65</f>
        <v>1284</v>
      </c>
    </row>
    <row r="23" spans="1:7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f>'3 квартал 2017г.'!G23</f>
        <v>1273</v>
      </c>
      <c r="G23" s="18">
        <f>F23</f>
        <v>1273</v>
      </c>
    </row>
    <row r="24" spans="1:7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f>'3 квартал 2017г.'!G24</f>
        <v>1306</v>
      </c>
      <c r="G24" s="18">
        <f>F24-4</f>
        <v>1302</v>
      </c>
    </row>
    <row r="25" spans="1:7" ht="18">
      <c r="A25" s="17">
        <v>7</v>
      </c>
      <c r="B25" s="17" t="s">
        <v>47</v>
      </c>
      <c r="C25" s="17" t="s">
        <v>33</v>
      </c>
      <c r="D25" s="18">
        <v>2</v>
      </c>
      <c r="E25" s="18">
        <f>1250*2</f>
        <v>2500</v>
      </c>
      <c r="F25" s="18">
        <f>'3 квартал 2017г.'!G25</f>
        <v>1660</v>
      </c>
      <c r="G25" s="18">
        <f>F25</f>
        <v>1660</v>
      </c>
    </row>
    <row r="26" spans="1:7" ht="18">
      <c r="A26" s="17">
        <v>8</v>
      </c>
      <c r="B26" s="17" t="s">
        <v>48</v>
      </c>
      <c r="C26" s="17" t="s">
        <v>33</v>
      </c>
      <c r="D26" s="18">
        <v>2</v>
      </c>
      <c r="E26" s="18">
        <f>1000*2</f>
        <v>2000</v>
      </c>
      <c r="F26" s="18">
        <f>'3 квартал 2017г.'!G26</f>
        <v>1419</v>
      </c>
      <c r="G26" s="18">
        <f>F26</f>
        <v>1419</v>
      </c>
    </row>
    <row r="27" spans="1:7" ht="18">
      <c r="A27" s="17">
        <v>9</v>
      </c>
      <c r="B27" s="17" t="s">
        <v>49</v>
      </c>
      <c r="C27" s="17" t="s">
        <v>33</v>
      </c>
      <c r="D27" s="18">
        <v>2</v>
      </c>
      <c r="E27" s="18">
        <f>1000*2</f>
        <v>2000</v>
      </c>
      <c r="F27" s="18">
        <f>'3 квартал 2017г.'!G27</f>
        <v>1805</v>
      </c>
      <c r="G27" s="18">
        <f>F27</f>
        <v>1805</v>
      </c>
    </row>
    <row r="28" spans="1:7" ht="18">
      <c r="A28" s="19" t="s">
        <v>34</v>
      </c>
      <c r="B28" s="19"/>
      <c r="C28" s="19"/>
      <c r="D28" s="19"/>
      <c r="E28" s="16">
        <f>SUM(E19:E27)</f>
        <v>18500</v>
      </c>
      <c r="F28" s="16">
        <f>SUM(F19:F27)</f>
        <v>12704</v>
      </c>
      <c r="G28" s="16">
        <f>SUM(G19:G27)</f>
        <v>12593</v>
      </c>
    </row>
    <row r="29" spans="1:7" ht="18">
      <c r="A29" s="20"/>
      <c r="B29" s="20"/>
      <c r="C29" s="20"/>
      <c r="D29" s="20"/>
      <c r="E29" s="20"/>
      <c r="F29" s="20"/>
      <c r="G29" s="20"/>
    </row>
    <row r="30" spans="1:7" ht="18">
      <c r="A30" s="21" t="s">
        <v>50</v>
      </c>
      <c r="B30" s="20"/>
      <c r="C30" s="20"/>
      <c r="D30" s="20"/>
      <c r="E30" s="20"/>
      <c r="F30" s="20"/>
      <c r="G30" s="20"/>
    </row>
    <row r="31" spans="1:7" ht="18">
      <c r="A31" s="21" t="s">
        <v>35</v>
      </c>
      <c r="B31" s="20"/>
      <c r="C31" s="20"/>
      <c r="D31" s="20"/>
      <c r="E31" s="20"/>
      <c r="F31" s="20"/>
      <c r="G31" s="20"/>
    </row>
    <row r="32" spans="1:7" ht="18">
      <c r="A32" s="20"/>
      <c r="B32" s="20"/>
      <c r="C32" s="20"/>
      <c r="D32" s="20"/>
      <c r="E32" s="20"/>
      <c r="F32" s="20"/>
      <c r="G32" s="20"/>
    </row>
    <row r="33" spans="1:7" ht="18">
      <c r="A33" s="20"/>
      <c r="B33" s="20"/>
      <c r="C33" s="20"/>
      <c r="D33" s="20"/>
      <c r="E33" s="20"/>
      <c r="F33" s="20"/>
      <c r="G33" s="20"/>
    </row>
    <row r="34" spans="1:7" ht="18">
      <c r="A34" s="20"/>
      <c r="B34" s="20"/>
      <c r="C34" s="20"/>
      <c r="D34" s="20"/>
      <c r="E34" s="20"/>
      <c r="F34" s="20"/>
      <c r="G34" s="20"/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0"/>
      <c r="B36" s="20"/>
      <c r="C36" s="20"/>
      <c r="D36" s="20"/>
      <c r="E36" s="20"/>
      <c r="F36" s="20"/>
      <c r="G36" s="20"/>
    </row>
  </sheetData>
  <sheetProtection/>
  <mergeCells count="13">
    <mergeCell ref="F14:F17"/>
    <mergeCell ref="E9:G9"/>
    <mergeCell ref="A10:G10"/>
    <mergeCell ref="A11:G11"/>
    <mergeCell ref="B12:E12"/>
    <mergeCell ref="F12:G12"/>
    <mergeCell ref="F13:G13"/>
    <mergeCell ref="A2:G2"/>
    <mergeCell ref="A3:G3"/>
    <mergeCell ref="A4:G4"/>
    <mergeCell ref="A5:G5"/>
    <mergeCell ref="E7:G7"/>
    <mergeCell ref="E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B16">
      <selection activeCell="G25" sqref="G25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8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53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64"/>
      <c r="C13" s="66"/>
      <c r="D13" s="66"/>
      <c r="E13" s="65"/>
      <c r="F13" s="163" t="s">
        <v>37</v>
      </c>
      <c r="G13" s="164"/>
    </row>
    <row r="14" spans="1:7" ht="18">
      <c r="A14" s="8"/>
      <c r="B14" s="63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65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7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f>'3 квартал 2017г.'!G19</f>
        <v>1237</v>
      </c>
      <c r="G19" s="18">
        <f>F19</f>
        <v>1237</v>
      </c>
    </row>
    <row r="20" spans="1:7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f>'3 квартал 2017г.'!G20</f>
        <v>1273</v>
      </c>
      <c r="G20" s="18">
        <f>F20-3</f>
        <v>1270</v>
      </c>
    </row>
    <row r="21" spans="1:7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f>'3 квартал 2017г.'!G21</f>
        <v>1382</v>
      </c>
      <c r="G21" s="18">
        <f>F21-15-3-24</f>
        <v>1340</v>
      </c>
    </row>
    <row r="22" spans="1:7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f>'3 квартал 2017г.'!G22</f>
        <v>1349</v>
      </c>
      <c r="G22" s="18">
        <f>F22-65</f>
        <v>1284</v>
      </c>
    </row>
    <row r="23" spans="1:7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f>'3 квартал 2017г.'!G23</f>
        <v>1273</v>
      </c>
      <c r="G23" s="18">
        <f>F23</f>
        <v>1273</v>
      </c>
    </row>
    <row r="24" spans="1:7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f>'3 квартал 2017г.'!G24</f>
        <v>1306</v>
      </c>
      <c r="G24" s="18">
        <f>F24-4-50</f>
        <v>1252</v>
      </c>
    </row>
    <row r="25" spans="1:7" ht="18">
      <c r="A25" s="17">
        <v>7</v>
      </c>
      <c r="B25" s="17" t="s">
        <v>47</v>
      </c>
      <c r="C25" s="17" t="s">
        <v>33</v>
      </c>
      <c r="D25" s="18">
        <v>2</v>
      </c>
      <c r="E25" s="18">
        <f>1250*2</f>
        <v>2500</v>
      </c>
      <c r="F25" s="18">
        <f>'3 квартал 2017г.'!G25</f>
        <v>1660</v>
      </c>
      <c r="G25" s="18">
        <f>F25-206.5</f>
        <v>1453.5</v>
      </c>
    </row>
    <row r="26" spans="1:7" ht="18">
      <c r="A26" s="17">
        <v>8</v>
      </c>
      <c r="B26" s="17" t="s">
        <v>48</v>
      </c>
      <c r="C26" s="17" t="s">
        <v>33</v>
      </c>
      <c r="D26" s="18">
        <v>2</v>
      </c>
      <c r="E26" s="18">
        <f>1000*2</f>
        <v>2000</v>
      </c>
      <c r="F26" s="18">
        <f>'3 квартал 2017г.'!G26</f>
        <v>1419</v>
      </c>
      <c r="G26" s="18">
        <f>F26</f>
        <v>1419</v>
      </c>
    </row>
    <row r="27" spans="1:7" ht="18">
      <c r="A27" s="17">
        <v>9</v>
      </c>
      <c r="B27" s="17" t="s">
        <v>49</v>
      </c>
      <c r="C27" s="17" t="s">
        <v>33</v>
      </c>
      <c r="D27" s="18">
        <v>2</v>
      </c>
      <c r="E27" s="18">
        <f>1000*2</f>
        <v>2000</v>
      </c>
      <c r="F27" s="18">
        <f>'3 квартал 2017г.'!G27</f>
        <v>1805</v>
      </c>
      <c r="G27" s="18">
        <f>F27</f>
        <v>1805</v>
      </c>
    </row>
    <row r="28" spans="1:7" ht="18">
      <c r="A28" s="19" t="s">
        <v>34</v>
      </c>
      <c r="B28" s="19"/>
      <c r="C28" s="19"/>
      <c r="D28" s="19"/>
      <c r="E28" s="16">
        <f>SUM(E19:E27)</f>
        <v>18500</v>
      </c>
      <c r="F28" s="16">
        <f>SUM(F19:F27)</f>
        <v>12704</v>
      </c>
      <c r="G28" s="16">
        <f>SUM(G19:G27)</f>
        <v>12333.5</v>
      </c>
    </row>
    <row r="29" spans="1:7" ht="18">
      <c r="A29" s="20"/>
      <c r="B29" s="20"/>
      <c r="C29" s="20"/>
      <c r="D29" s="20"/>
      <c r="E29" s="20"/>
      <c r="F29" s="20"/>
      <c r="G29" s="20"/>
    </row>
    <row r="30" spans="1:7" ht="18">
      <c r="A30" s="21" t="s">
        <v>50</v>
      </c>
      <c r="B30" s="20"/>
      <c r="C30" s="20"/>
      <c r="D30" s="20"/>
      <c r="E30" s="20"/>
      <c r="F30" s="20"/>
      <c r="G30" s="20"/>
    </row>
    <row r="31" spans="1:7" ht="18">
      <c r="A31" s="21" t="s">
        <v>35</v>
      </c>
      <c r="B31" s="20"/>
      <c r="C31" s="20"/>
      <c r="D31" s="20"/>
      <c r="E31" s="20"/>
      <c r="F31" s="20"/>
      <c r="G31" s="20"/>
    </row>
    <row r="32" spans="1:7" ht="18">
      <c r="A32" s="20"/>
      <c r="B32" s="20"/>
      <c r="C32" s="20"/>
      <c r="D32" s="20"/>
      <c r="E32" s="20"/>
      <c r="F32" s="20"/>
      <c r="G32" s="20"/>
    </row>
    <row r="33" spans="1:7" ht="18">
      <c r="A33" s="20"/>
      <c r="B33" s="20"/>
      <c r="C33" s="20"/>
      <c r="D33" s="20"/>
      <c r="E33" s="20"/>
      <c r="F33" s="20"/>
      <c r="G33" s="20"/>
    </row>
    <row r="34" spans="1:7" ht="18">
      <c r="A34" s="20"/>
      <c r="B34" s="20"/>
      <c r="C34" s="20"/>
      <c r="D34" s="20"/>
      <c r="E34" s="20"/>
      <c r="F34" s="20"/>
      <c r="G34" s="20"/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0"/>
      <c r="B36" s="20"/>
      <c r="C36" s="20"/>
      <c r="D36" s="20"/>
      <c r="E36" s="20"/>
      <c r="F36" s="20"/>
      <c r="G36" s="20"/>
    </row>
  </sheetData>
  <sheetProtection/>
  <mergeCells count="13">
    <mergeCell ref="A2:G2"/>
    <mergeCell ref="A3:G3"/>
    <mergeCell ref="A4:G4"/>
    <mergeCell ref="A5:G5"/>
    <mergeCell ref="E7:G7"/>
    <mergeCell ref="E8:G8"/>
    <mergeCell ref="F14:F17"/>
    <mergeCell ref="E9:G9"/>
    <mergeCell ref="A10:G10"/>
    <mergeCell ref="A11:G11"/>
    <mergeCell ref="B12:E12"/>
    <mergeCell ref="F12:G12"/>
    <mergeCell ref="F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C15">
      <selection activeCell="F25" sqref="F25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8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54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68"/>
      <c r="C13" s="70"/>
      <c r="D13" s="70"/>
      <c r="E13" s="69"/>
      <c r="F13" s="163" t="s">
        <v>37</v>
      </c>
      <c r="G13" s="164"/>
    </row>
    <row r="14" spans="1:7" ht="18">
      <c r="A14" s="8"/>
      <c r="B14" s="67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69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7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v>1237</v>
      </c>
      <c r="G19" s="18">
        <f>F19</f>
        <v>1237</v>
      </c>
    </row>
    <row r="20" spans="1:7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v>1270</v>
      </c>
      <c r="G20" s="18">
        <f aca="true" t="shared" si="0" ref="G20:G27">F20</f>
        <v>1270</v>
      </c>
    </row>
    <row r="21" spans="1:7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v>1340</v>
      </c>
      <c r="G21" s="18">
        <f t="shared" si="0"/>
        <v>1340</v>
      </c>
    </row>
    <row r="22" spans="1:7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v>1284</v>
      </c>
      <c r="G22" s="18">
        <f t="shared" si="0"/>
        <v>1284</v>
      </c>
    </row>
    <row r="23" spans="1:7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v>1273</v>
      </c>
      <c r="G23" s="18">
        <f t="shared" si="0"/>
        <v>1273</v>
      </c>
    </row>
    <row r="24" spans="1:7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f>'1 квартал 2018г.'!G24</f>
        <v>1252</v>
      </c>
      <c r="G24" s="18">
        <f>F24</f>
        <v>1252</v>
      </c>
    </row>
    <row r="25" spans="1:7" ht="18">
      <c r="A25" s="17">
        <v>7</v>
      </c>
      <c r="B25" s="17" t="s">
        <v>47</v>
      </c>
      <c r="C25" s="17" t="s">
        <v>33</v>
      </c>
      <c r="D25" s="18">
        <v>2</v>
      </c>
      <c r="E25" s="18">
        <f>1250*2</f>
        <v>2500</v>
      </c>
      <c r="F25" s="18">
        <v>1453.5</v>
      </c>
      <c r="G25" s="18">
        <f t="shared" si="0"/>
        <v>1453.5</v>
      </c>
    </row>
    <row r="26" spans="1:7" ht="18">
      <c r="A26" s="17">
        <v>8</v>
      </c>
      <c r="B26" s="17" t="s">
        <v>48</v>
      </c>
      <c r="C26" s="17" t="s">
        <v>33</v>
      </c>
      <c r="D26" s="18">
        <v>2</v>
      </c>
      <c r="E26" s="18">
        <f>1000*2</f>
        <v>2000</v>
      </c>
      <c r="F26" s="18">
        <v>1419</v>
      </c>
      <c r="G26" s="18">
        <f t="shared" si="0"/>
        <v>1419</v>
      </c>
    </row>
    <row r="27" spans="1:7" ht="18">
      <c r="A27" s="17">
        <v>9</v>
      </c>
      <c r="B27" s="17" t="s">
        <v>49</v>
      </c>
      <c r="C27" s="17" t="s">
        <v>33</v>
      </c>
      <c r="D27" s="18">
        <v>2</v>
      </c>
      <c r="E27" s="18">
        <f>1000*2</f>
        <v>2000</v>
      </c>
      <c r="F27" s="18">
        <v>1805</v>
      </c>
      <c r="G27" s="18">
        <f t="shared" si="0"/>
        <v>1805</v>
      </c>
    </row>
    <row r="28" spans="1:7" ht="18">
      <c r="A28" s="19" t="s">
        <v>34</v>
      </c>
      <c r="B28" s="19"/>
      <c r="C28" s="19"/>
      <c r="D28" s="19"/>
      <c r="E28" s="16">
        <f>SUM(E19:E27)</f>
        <v>18500</v>
      </c>
      <c r="F28" s="16">
        <f>SUM(F19:F27)</f>
        <v>12333.5</v>
      </c>
      <c r="G28" s="16">
        <f>SUM(G19:G27)</f>
        <v>12333.5</v>
      </c>
    </row>
    <row r="29" spans="1:7" ht="18">
      <c r="A29" s="20"/>
      <c r="B29" s="20"/>
      <c r="C29" s="20"/>
      <c r="D29" s="20"/>
      <c r="E29" s="20"/>
      <c r="F29" s="20"/>
      <c r="G29" s="20"/>
    </row>
    <row r="30" spans="1:7" ht="18">
      <c r="A30" s="21" t="s">
        <v>50</v>
      </c>
      <c r="B30" s="20"/>
      <c r="C30" s="20"/>
      <c r="D30" s="20"/>
      <c r="E30" s="20"/>
      <c r="F30" s="20"/>
      <c r="G30" s="20"/>
    </row>
    <row r="31" spans="1:7" ht="18">
      <c r="A31" s="21" t="s">
        <v>35</v>
      </c>
      <c r="B31" s="20"/>
      <c r="C31" s="20"/>
      <c r="D31" s="20"/>
      <c r="E31" s="20"/>
      <c r="F31" s="20"/>
      <c r="G31" s="20"/>
    </row>
    <row r="32" spans="1:7" ht="18">
      <c r="A32" s="20"/>
      <c r="B32" s="20"/>
      <c r="C32" s="20"/>
      <c r="D32" s="20"/>
      <c r="E32" s="20"/>
      <c r="F32" s="20"/>
      <c r="G32" s="20"/>
    </row>
    <row r="33" spans="1:7" ht="18">
      <c r="A33" s="20"/>
      <c r="B33" s="20"/>
      <c r="C33" s="20"/>
      <c r="D33" s="20"/>
      <c r="E33" s="20"/>
      <c r="F33" s="20"/>
      <c r="G33" s="20"/>
    </row>
    <row r="34" spans="1:7" ht="18">
      <c r="A34" s="20"/>
      <c r="B34" s="20"/>
      <c r="C34" s="20"/>
      <c r="D34" s="20"/>
      <c r="E34" s="20"/>
      <c r="F34" s="20"/>
      <c r="G34" s="20"/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0"/>
      <c r="B36" s="20"/>
      <c r="C36" s="20"/>
      <c r="D36" s="20"/>
      <c r="E36" s="20"/>
      <c r="F36" s="20"/>
      <c r="G36" s="20"/>
    </row>
  </sheetData>
  <sheetProtection/>
  <mergeCells count="13">
    <mergeCell ref="F14:F17"/>
    <mergeCell ref="E9:G9"/>
    <mergeCell ref="A10:G10"/>
    <mergeCell ref="A11:G11"/>
    <mergeCell ref="B12:E12"/>
    <mergeCell ref="F12:G12"/>
    <mergeCell ref="F13:G13"/>
    <mergeCell ref="A2:G2"/>
    <mergeCell ref="A3:G3"/>
    <mergeCell ref="A4:G4"/>
    <mergeCell ref="A5:G5"/>
    <mergeCell ref="E7:G7"/>
    <mergeCell ref="E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C19">
      <selection activeCell="G28" sqref="G28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8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56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72"/>
      <c r="C13" s="74"/>
      <c r="D13" s="74"/>
      <c r="E13" s="73"/>
      <c r="F13" s="163" t="s">
        <v>37</v>
      </c>
      <c r="G13" s="164"/>
    </row>
    <row r="14" spans="1:7" ht="18">
      <c r="A14" s="8"/>
      <c r="B14" s="71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73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7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v>1237</v>
      </c>
      <c r="G19" s="18">
        <f>F19</f>
        <v>1237</v>
      </c>
    </row>
    <row r="20" spans="1:7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v>1270</v>
      </c>
      <c r="G20" s="18">
        <f>F20-30-15</f>
        <v>1225</v>
      </c>
    </row>
    <row r="21" spans="1:7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v>1340</v>
      </c>
      <c r="G21" s="18">
        <f aca="true" t="shared" si="0" ref="G21:G27">F21</f>
        <v>1340</v>
      </c>
    </row>
    <row r="22" spans="1:7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v>1284</v>
      </c>
      <c r="G22" s="18">
        <f t="shared" si="0"/>
        <v>1284</v>
      </c>
    </row>
    <row r="23" spans="1:7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v>1273</v>
      </c>
      <c r="G23" s="18">
        <f>F23-68</f>
        <v>1205</v>
      </c>
    </row>
    <row r="24" spans="1:7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f>'2 квартал 2018г.'!G24</f>
        <v>1252</v>
      </c>
      <c r="G24" s="18">
        <f>F24-15-65</f>
        <v>1172</v>
      </c>
    </row>
    <row r="25" spans="1:7" ht="18">
      <c r="A25" s="17">
        <v>7</v>
      </c>
      <c r="B25" s="17" t="s">
        <v>47</v>
      </c>
      <c r="C25" s="17" t="s">
        <v>33</v>
      </c>
      <c r="D25" s="18">
        <v>2</v>
      </c>
      <c r="E25" s="18">
        <f>1250*2</f>
        <v>2500</v>
      </c>
      <c r="F25" s="18">
        <v>1453.5</v>
      </c>
      <c r="G25" s="18">
        <f t="shared" si="0"/>
        <v>1453.5</v>
      </c>
    </row>
    <row r="26" spans="1:7" ht="18">
      <c r="A26" s="17">
        <v>8</v>
      </c>
      <c r="B26" s="17" t="s">
        <v>48</v>
      </c>
      <c r="C26" s="17" t="s">
        <v>33</v>
      </c>
      <c r="D26" s="18">
        <v>2</v>
      </c>
      <c r="E26" s="18">
        <f>1000*2</f>
        <v>2000</v>
      </c>
      <c r="F26" s="18">
        <v>1419</v>
      </c>
      <c r="G26" s="18">
        <f>F26-100-100-35</f>
        <v>1184</v>
      </c>
    </row>
    <row r="27" spans="1:7" ht="18">
      <c r="A27" s="17">
        <v>9</v>
      </c>
      <c r="B27" s="17" t="s">
        <v>49</v>
      </c>
      <c r="C27" s="17" t="s">
        <v>33</v>
      </c>
      <c r="D27" s="18">
        <v>2</v>
      </c>
      <c r="E27" s="18">
        <f>1000*2</f>
        <v>2000</v>
      </c>
      <c r="F27" s="18">
        <v>1805</v>
      </c>
      <c r="G27" s="18">
        <f t="shared" si="0"/>
        <v>1805</v>
      </c>
    </row>
    <row r="28" spans="1:7" ht="18">
      <c r="A28" s="19" t="s">
        <v>34</v>
      </c>
      <c r="B28" s="19"/>
      <c r="C28" s="19"/>
      <c r="D28" s="19"/>
      <c r="E28" s="16">
        <f>SUM(E19:E27)</f>
        <v>18500</v>
      </c>
      <c r="F28" s="16">
        <f>SUM(F19:F27)</f>
        <v>12333.5</v>
      </c>
      <c r="G28" s="16">
        <f>SUM(G19:G27)</f>
        <v>11905.5</v>
      </c>
    </row>
    <row r="29" spans="1:7" ht="18">
      <c r="A29" s="20"/>
      <c r="B29" s="20"/>
      <c r="C29" s="20"/>
      <c r="D29" s="20"/>
      <c r="E29" s="20"/>
      <c r="F29" s="20"/>
      <c r="G29" s="20"/>
    </row>
    <row r="30" spans="1:7" ht="18">
      <c r="A30" s="21" t="s">
        <v>50</v>
      </c>
      <c r="B30" s="20"/>
      <c r="C30" s="20"/>
      <c r="D30" s="20"/>
      <c r="E30" s="20"/>
      <c r="F30" s="20"/>
      <c r="G30" s="20"/>
    </row>
    <row r="31" spans="1:7" ht="18">
      <c r="A31" s="21" t="s">
        <v>35</v>
      </c>
      <c r="B31" s="20"/>
      <c r="C31" s="20"/>
      <c r="D31" s="20"/>
      <c r="E31" s="20"/>
      <c r="F31" s="20"/>
      <c r="G31" s="20"/>
    </row>
    <row r="32" spans="1:7" ht="18">
      <c r="A32" s="20"/>
      <c r="B32" s="20"/>
      <c r="C32" s="20"/>
      <c r="D32" s="20"/>
      <c r="E32" s="20"/>
      <c r="F32" s="20"/>
      <c r="G32" s="20"/>
    </row>
    <row r="33" spans="1:7" ht="18">
      <c r="A33" s="20"/>
      <c r="B33" s="20"/>
      <c r="C33" s="20"/>
      <c r="D33" s="20"/>
      <c r="E33" s="20"/>
      <c r="F33" s="20"/>
      <c r="G33" s="20"/>
    </row>
    <row r="34" spans="1:7" ht="18">
      <c r="A34" s="20"/>
      <c r="B34" s="20"/>
      <c r="C34" s="20"/>
      <c r="D34" s="20"/>
      <c r="E34" s="20"/>
      <c r="F34" s="20"/>
      <c r="G34" s="20"/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0"/>
      <c r="B36" s="20"/>
      <c r="C36" s="20"/>
      <c r="D36" s="20"/>
      <c r="E36" s="20"/>
      <c r="F36" s="20"/>
      <c r="G36" s="20"/>
    </row>
  </sheetData>
  <sheetProtection/>
  <mergeCells count="13">
    <mergeCell ref="A2:G2"/>
    <mergeCell ref="A3:G3"/>
    <mergeCell ref="A4:G4"/>
    <mergeCell ref="A5:G5"/>
    <mergeCell ref="E7:G7"/>
    <mergeCell ref="E8:G8"/>
    <mergeCell ref="F14:F17"/>
    <mergeCell ref="E9:G9"/>
    <mergeCell ref="A10:G10"/>
    <mergeCell ref="A11:G11"/>
    <mergeCell ref="B12:E12"/>
    <mergeCell ref="F12:G12"/>
    <mergeCell ref="F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C10">
      <selection activeCell="G22" sqref="G22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8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55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76"/>
      <c r="C13" s="78"/>
      <c r="D13" s="78"/>
      <c r="E13" s="77"/>
      <c r="F13" s="163" t="s">
        <v>37</v>
      </c>
      <c r="G13" s="164"/>
    </row>
    <row r="14" spans="1:7" ht="18">
      <c r="A14" s="8"/>
      <c r="B14" s="75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77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7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f>'3квартал2018г.'!G19</f>
        <v>1237</v>
      </c>
      <c r="G19" s="18">
        <f>1235.5</f>
        <v>1235.5</v>
      </c>
    </row>
    <row r="20" spans="1:7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f>'3квартал2018г.'!G20</f>
        <v>1225</v>
      </c>
      <c r="G20" s="18">
        <f>F20-3</f>
        <v>1222</v>
      </c>
    </row>
    <row r="21" spans="1:7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f>'3квартал2018г.'!G21</f>
        <v>1340</v>
      </c>
      <c r="G21" s="18">
        <v>1270</v>
      </c>
    </row>
    <row r="22" spans="1:7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f>'3квартал2018г.'!G22</f>
        <v>1284</v>
      </c>
      <c r="G22" s="18">
        <f>F22-24-15-48-3</f>
        <v>1194</v>
      </c>
    </row>
    <row r="23" spans="1:7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f>'3квартал2018г.'!G23</f>
        <v>1205</v>
      </c>
      <c r="G23" s="18">
        <f>F23-24-24-24-24-24-3</f>
        <v>1082</v>
      </c>
    </row>
    <row r="24" spans="1:7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f>'3квартал2018г.'!G24</f>
        <v>1172</v>
      </c>
      <c r="G24" s="18">
        <f>987.8</f>
        <v>987.8</v>
      </c>
    </row>
    <row r="25" spans="1:7" ht="18">
      <c r="A25" s="17">
        <v>7</v>
      </c>
      <c r="B25" s="17" t="s">
        <v>47</v>
      </c>
      <c r="C25" s="17" t="s">
        <v>33</v>
      </c>
      <c r="D25" s="18">
        <v>2</v>
      </c>
      <c r="E25" s="18">
        <f>1250*2</f>
        <v>2500</v>
      </c>
      <c r="F25" s="18">
        <f>'3квартал2018г.'!G25</f>
        <v>1453.5</v>
      </c>
      <c r="G25" s="18">
        <f>F25</f>
        <v>1453.5</v>
      </c>
    </row>
    <row r="26" spans="1:7" ht="18">
      <c r="A26" s="17">
        <v>8</v>
      </c>
      <c r="B26" s="17" t="s">
        <v>48</v>
      </c>
      <c r="C26" s="17" t="s">
        <v>33</v>
      </c>
      <c r="D26" s="18">
        <v>2</v>
      </c>
      <c r="E26" s="18">
        <f>1000*2</f>
        <v>2000</v>
      </c>
      <c r="F26" s="18">
        <f>'3квартал2018г.'!G26</f>
        <v>1184</v>
      </c>
      <c r="G26" s="18">
        <f>F26</f>
        <v>1184</v>
      </c>
    </row>
    <row r="27" spans="1:7" ht="18">
      <c r="A27" s="17">
        <v>9</v>
      </c>
      <c r="B27" s="17" t="s">
        <v>49</v>
      </c>
      <c r="C27" s="17" t="s">
        <v>33</v>
      </c>
      <c r="D27" s="18">
        <v>2</v>
      </c>
      <c r="E27" s="18">
        <f>1000*2</f>
        <v>2000</v>
      </c>
      <c r="F27" s="18">
        <f>'3квартал2018г.'!G27</f>
        <v>1805</v>
      </c>
      <c r="G27" s="18">
        <f>F27-108-63-120-120-108-84-108</f>
        <v>1094</v>
      </c>
    </row>
    <row r="28" spans="1:7" ht="18">
      <c r="A28" s="19" t="s">
        <v>34</v>
      </c>
      <c r="B28" s="19"/>
      <c r="C28" s="19"/>
      <c r="D28" s="19"/>
      <c r="E28" s="16">
        <f>SUM(E19:E27)</f>
        <v>18500</v>
      </c>
      <c r="F28" s="16">
        <f>SUM(F19:F27)</f>
        <v>11905.5</v>
      </c>
      <c r="G28" s="16">
        <f>SUM(G19:G27)</f>
        <v>10722.8</v>
      </c>
    </row>
    <row r="29" spans="1:7" ht="18">
      <c r="A29" s="20"/>
      <c r="B29" s="20"/>
      <c r="C29" s="20"/>
      <c r="D29" s="20"/>
      <c r="E29" s="20"/>
      <c r="F29" s="20"/>
      <c r="G29" s="20"/>
    </row>
    <row r="30" spans="1:7" ht="18">
      <c r="A30" s="21" t="s">
        <v>50</v>
      </c>
      <c r="B30" s="20"/>
      <c r="C30" s="20"/>
      <c r="D30" s="20"/>
      <c r="E30" s="20"/>
      <c r="F30" s="20"/>
      <c r="G30" s="20"/>
    </row>
    <row r="31" spans="1:7" ht="18">
      <c r="A31" s="21" t="s">
        <v>35</v>
      </c>
      <c r="B31" s="20"/>
      <c r="C31" s="20"/>
      <c r="D31" s="20"/>
      <c r="E31" s="20"/>
      <c r="F31" s="20"/>
      <c r="G31" s="20"/>
    </row>
    <row r="32" spans="1:7" ht="18">
      <c r="A32" s="20"/>
      <c r="B32" s="20"/>
      <c r="C32" s="20"/>
      <c r="D32" s="20"/>
      <c r="E32" s="20"/>
      <c r="F32" s="20"/>
      <c r="G32" s="20"/>
    </row>
    <row r="33" spans="1:7" ht="18">
      <c r="A33" s="20"/>
      <c r="B33" s="20"/>
      <c r="C33" s="20"/>
      <c r="D33" s="20"/>
      <c r="E33" s="20"/>
      <c r="F33" s="20"/>
      <c r="G33" s="20"/>
    </row>
    <row r="34" spans="1:7" ht="18">
      <c r="A34" s="20"/>
      <c r="B34" s="20"/>
      <c r="C34" s="20"/>
      <c r="D34" s="20"/>
      <c r="E34" s="20"/>
      <c r="F34" s="20"/>
      <c r="G34" s="20"/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0"/>
      <c r="B36" s="20"/>
      <c r="C36" s="20"/>
      <c r="D36" s="20"/>
      <c r="E36" s="20"/>
      <c r="F36" s="20"/>
      <c r="G36" s="20"/>
    </row>
  </sheetData>
  <sheetProtection/>
  <mergeCells count="13">
    <mergeCell ref="F14:F17"/>
    <mergeCell ref="E9:G9"/>
    <mergeCell ref="A10:G10"/>
    <mergeCell ref="A11:G11"/>
    <mergeCell ref="B12:E12"/>
    <mergeCell ref="F12:G12"/>
    <mergeCell ref="F13:G13"/>
    <mergeCell ref="A2:G2"/>
    <mergeCell ref="A3:G3"/>
    <mergeCell ref="A4:G4"/>
    <mergeCell ref="A5:G5"/>
    <mergeCell ref="E7:G7"/>
    <mergeCell ref="E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C10">
      <selection activeCell="G28" sqref="G28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8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57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80"/>
      <c r="C13" s="82"/>
      <c r="D13" s="82"/>
      <c r="E13" s="81"/>
      <c r="F13" s="163" t="s">
        <v>37</v>
      </c>
      <c r="G13" s="164"/>
    </row>
    <row r="14" spans="1:7" ht="18">
      <c r="A14" s="8"/>
      <c r="B14" s="79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81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7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f>'4квартал2018г.'!G19</f>
        <v>1235.5</v>
      </c>
      <c r="G19" s="18">
        <f>F19</f>
        <v>1235.5</v>
      </c>
    </row>
    <row r="20" spans="1:7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f>'4квартал2018г.'!G20</f>
        <v>1222</v>
      </c>
      <c r="G20" s="18">
        <f>F20-1-1-1</f>
        <v>1219</v>
      </c>
    </row>
    <row r="21" spans="1:7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f>'4квартал2018г.'!G21</f>
        <v>1270</v>
      </c>
      <c r="G21" s="18">
        <f aca="true" t="shared" si="0" ref="G21:G26">F21</f>
        <v>1270</v>
      </c>
    </row>
    <row r="22" spans="1:7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f>'4квартал2018г.'!G22</f>
        <v>1194</v>
      </c>
      <c r="G22" s="18">
        <f t="shared" si="0"/>
        <v>1194</v>
      </c>
    </row>
    <row r="23" spans="1:7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f>'4квартал2018г.'!G23</f>
        <v>1082</v>
      </c>
      <c r="G23" s="18">
        <f t="shared" si="0"/>
        <v>1082</v>
      </c>
    </row>
    <row r="24" spans="1:7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f>'4квартал2018г.'!G24</f>
        <v>987.8</v>
      </c>
      <c r="G24" s="18">
        <f>F24-24</f>
        <v>963.8</v>
      </c>
    </row>
    <row r="25" spans="1:7" ht="18">
      <c r="A25" s="17">
        <v>7</v>
      </c>
      <c r="B25" s="17" t="s">
        <v>47</v>
      </c>
      <c r="C25" s="17" t="s">
        <v>33</v>
      </c>
      <c r="D25" s="18">
        <v>2</v>
      </c>
      <c r="E25" s="18">
        <f>1250*2</f>
        <v>2500</v>
      </c>
      <c r="F25" s="18">
        <f>'4квартал2018г.'!G25</f>
        <v>1453.5</v>
      </c>
      <c r="G25" s="18">
        <f>F25-1</f>
        <v>1452.5</v>
      </c>
    </row>
    <row r="26" spans="1:7" ht="18">
      <c r="A26" s="17">
        <v>8</v>
      </c>
      <c r="B26" s="17" t="s">
        <v>48</v>
      </c>
      <c r="C26" s="17" t="s">
        <v>33</v>
      </c>
      <c r="D26" s="18">
        <v>2</v>
      </c>
      <c r="E26" s="18">
        <f>1000*2</f>
        <v>2000</v>
      </c>
      <c r="F26" s="18">
        <f>'4квартал2018г.'!G26</f>
        <v>1184</v>
      </c>
      <c r="G26" s="18">
        <f t="shared" si="0"/>
        <v>1184</v>
      </c>
    </row>
    <row r="27" spans="1:7" ht="18">
      <c r="A27" s="17">
        <v>9</v>
      </c>
      <c r="B27" s="17" t="s">
        <v>49</v>
      </c>
      <c r="C27" s="17" t="s">
        <v>33</v>
      </c>
      <c r="D27" s="18">
        <v>2</v>
      </c>
      <c r="E27" s="18">
        <f>1000*2</f>
        <v>2000</v>
      </c>
      <c r="F27" s="18">
        <f>'4квартал2018г.'!G27</f>
        <v>1094</v>
      </c>
      <c r="G27" s="18">
        <f>F27-1-1</f>
        <v>1092</v>
      </c>
    </row>
    <row r="28" spans="1:7" ht="18">
      <c r="A28" s="19" t="s">
        <v>34</v>
      </c>
      <c r="B28" s="19"/>
      <c r="C28" s="19"/>
      <c r="D28" s="19"/>
      <c r="E28" s="16">
        <f>SUM(E19:E27)</f>
        <v>18500</v>
      </c>
      <c r="F28" s="16">
        <f>SUM(F19:F27)</f>
        <v>10722.8</v>
      </c>
      <c r="G28" s="16">
        <f>SUM(G19:G27)</f>
        <v>10692.8</v>
      </c>
    </row>
    <row r="29" spans="1:7" ht="18">
      <c r="A29" s="20"/>
      <c r="B29" s="20"/>
      <c r="C29" s="20"/>
      <c r="D29" s="20"/>
      <c r="E29" s="20"/>
      <c r="F29" s="20"/>
      <c r="G29" s="20"/>
    </row>
    <row r="30" spans="1:7" ht="18">
      <c r="A30" s="21" t="s">
        <v>50</v>
      </c>
      <c r="B30" s="20"/>
      <c r="C30" s="20"/>
      <c r="D30" s="20"/>
      <c r="E30" s="20"/>
      <c r="F30" s="20"/>
      <c r="G30" s="20"/>
    </row>
    <row r="31" spans="1:7" ht="18">
      <c r="A31" s="21" t="s">
        <v>35</v>
      </c>
      <c r="B31" s="20"/>
      <c r="C31" s="20"/>
      <c r="D31" s="20"/>
      <c r="E31" s="20"/>
      <c r="F31" s="20"/>
      <c r="G31" s="20"/>
    </row>
    <row r="32" spans="1:7" ht="18">
      <c r="A32" s="20"/>
      <c r="B32" s="20"/>
      <c r="C32" s="20"/>
      <c r="D32" s="20"/>
      <c r="E32" s="20"/>
      <c r="F32" s="20"/>
      <c r="G32" s="20"/>
    </row>
    <row r="33" spans="1:7" ht="18">
      <c r="A33" s="20"/>
      <c r="B33" s="20"/>
      <c r="C33" s="20"/>
      <c r="D33" s="20"/>
      <c r="E33" s="20"/>
      <c r="F33" s="20"/>
      <c r="G33" s="20"/>
    </row>
    <row r="34" spans="1:7" ht="18">
      <c r="A34" s="20"/>
      <c r="B34" s="20"/>
      <c r="C34" s="20"/>
      <c r="D34" s="20"/>
      <c r="E34" s="20"/>
      <c r="F34" s="20"/>
      <c r="G34" s="20"/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0"/>
      <c r="B36" s="20"/>
      <c r="C36" s="20"/>
      <c r="D36" s="20"/>
      <c r="E36" s="20"/>
      <c r="F36" s="20"/>
      <c r="G36" s="20"/>
    </row>
  </sheetData>
  <sheetProtection/>
  <mergeCells count="13">
    <mergeCell ref="A2:G2"/>
    <mergeCell ref="A3:G3"/>
    <mergeCell ref="A4:G4"/>
    <mergeCell ref="A5:G5"/>
    <mergeCell ref="E7:G7"/>
    <mergeCell ref="E8:G8"/>
    <mergeCell ref="F14:F17"/>
    <mergeCell ref="E9:G9"/>
    <mergeCell ref="A10:G10"/>
    <mergeCell ref="A11:G11"/>
    <mergeCell ref="B12:E12"/>
    <mergeCell ref="F12:G12"/>
    <mergeCell ref="F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3">
      <selection activeCell="G19" sqref="G19:G27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8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58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84"/>
      <c r="C13" s="86"/>
      <c r="D13" s="86"/>
      <c r="E13" s="85"/>
      <c r="F13" s="163" t="s">
        <v>37</v>
      </c>
      <c r="G13" s="164"/>
    </row>
    <row r="14" spans="1:7" ht="18">
      <c r="A14" s="8"/>
      <c r="B14" s="83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85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7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f>'1квартал2019г.'!G19</f>
        <v>1235.5</v>
      </c>
      <c r="G19" s="18">
        <f>F19</f>
        <v>1235.5</v>
      </c>
    </row>
    <row r="20" spans="1:7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f>'1квартал2019г.'!G20</f>
        <v>1219</v>
      </c>
      <c r="G20" s="18">
        <f aca="true" t="shared" si="0" ref="G20:G27">F20</f>
        <v>1219</v>
      </c>
    </row>
    <row r="21" spans="1:7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f>'1квартал2019г.'!G21</f>
        <v>1270</v>
      </c>
      <c r="G21" s="18">
        <f t="shared" si="0"/>
        <v>1270</v>
      </c>
    </row>
    <row r="22" spans="1:7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f>'1квартал2019г.'!G22</f>
        <v>1194</v>
      </c>
      <c r="G22" s="18">
        <f t="shared" si="0"/>
        <v>1194</v>
      </c>
    </row>
    <row r="23" spans="1:7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f>'1квартал2019г.'!G23</f>
        <v>1082</v>
      </c>
      <c r="G23" s="18">
        <f t="shared" si="0"/>
        <v>1082</v>
      </c>
    </row>
    <row r="24" spans="1:7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f>'1квартал2019г.'!G24</f>
        <v>963.8</v>
      </c>
      <c r="G24" s="18">
        <f t="shared" si="0"/>
        <v>963.8</v>
      </c>
    </row>
    <row r="25" spans="1:7" ht="18">
      <c r="A25" s="17">
        <v>7</v>
      </c>
      <c r="B25" s="17" t="s">
        <v>47</v>
      </c>
      <c r="C25" s="17" t="s">
        <v>33</v>
      </c>
      <c r="D25" s="18">
        <v>2</v>
      </c>
      <c r="E25" s="18">
        <f>1250*2</f>
        <v>2500</v>
      </c>
      <c r="F25" s="18">
        <f>'1квартал2019г.'!G25</f>
        <v>1452.5</v>
      </c>
      <c r="G25" s="18">
        <f t="shared" si="0"/>
        <v>1452.5</v>
      </c>
    </row>
    <row r="26" spans="1:7" ht="18">
      <c r="A26" s="17">
        <v>8</v>
      </c>
      <c r="B26" s="17" t="s">
        <v>48</v>
      </c>
      <c r="C26" s="17" t="s">
        <v>33</v>
      </c>
      <c r="D26" s="18">
        <v>2</v>
      </c>
      <c r="E26" s="18">
        <f>1000*2</f>
        <v>2000</v>
      </c>
      <c r="F26" s="18">
        <f>'1квартал2019г.'!G26</f>
        <v>1184</v>
      </c>
      <c r="G26" s="18">
        <f t="shared" si="0"/>
        <v>1184</v>
      </c>
    </row>
    <row r="27" spans="1:7" ht="18">
      <c r="A27" s="17">
        <v>9</v>
      </c>
      <c r="B27" s="17" t="s">
        <v>49</v>
      </c>
      <c r="C27" s="17" t="s">
        <v>33</v>
      </c>
      <c r="D27" s="18">
        <v>2</v>
      </c>
      <c r="E27" s="18">
        <f>1000*2</f>
        <v>2000</v>
      </c>
      <c r="F27" s="18">
        <f>'1квартал2019г.'!G27</f>
        <v>1092</v>
      </c>
      <c r="G27" s="18">
        <f t="shared" si="0"/>
        <v>1092</v>
      </c>
    </row>
    <row r="28" spans="1:7" ht="18">
      <c r="A28" s="19" t="s">
        <v>34</v>
      </c>
      <c r="B28" s="19"/>
      <c r="C28" s="19"/>
      <c r="D28" s="19"/>
      <c r="E28" s="16">
        <f>SUM(E19:E27)</f>
        <v>18500</v>
      </c>
      <c r="F28" s="16">
        <f>SUM(F19:F27)</f>
        <v>10692.8</v>
      </c>
      <c r="G28" s="16">
        <f>SUM(G19:G27)</f>
        <v>10692.8</v>
      </c>
    </row>
    <row r="29" spans="1:7" ht="18">
      <c r="A29" s="20"/>
      <c r="B29" s="20"/>
      <c r="C29" s="20"/>
      <c r="D29" s="20"/>
      <c r="E29" s="20"/>
      <c r="F29" s="20"/>
      <c r="G29" s="20"/>
    </row>
    <row r="30" spans="1:7" ht="18">
      <c r="A30" s="21" t="s">
        <v>50</v>
      </c>
      <c r="B30" s="20"/>
      <c r="C30" s="20"/>
      <c r="D30" s="20"/>
      <c r="E30" s="20"/>
      <c r="F30" s="20"/>
      <c r="G30" s="20"/>
    </row>
    <row r="31" spans="1:7" ht="18">
      <c r="A31" s="21" t="s">
        <v>35</v>
      </c>
      <c r="B31" s="20"/>
      <c r="C31" s="20"/>
      <c r="D31" s="20"/>
      <c r="E31" s="20"/>
      <c r="F31" s="20"/>
      <c r="G31" s="20"/>
    </row>
    <row r="32" spans="1:7" ht="18">
      <c r="A32" s="20"/>
      <c r="B32" s="20"/>
      <c r="C32" s="20"/>
      <c r="D32" s="20"/>
      <c r="E32" s="20"/>
      <c r="F32" s="20"/>
      <c r="G32" s="20"/>
    </row>
    <row r="33" spans="1:7" ht="18">
      <c r="A33" s="20"/>
      <c r="B33" s="20"/>
      <c r="C33" s="20"/>
      <c r="D33" s="20"/>
      <c r="E33" s="20"/>
      <c r="F33" s="20"/>
      <c r="G33" s="20"/>
    </row>
    <row r="34" spans="1:7" ht="18">
      <c r="A34" s="20"/>
      <c r="B34" s="20"/>
      <c r="C34" s="20"/>
      <c r="D34" s="20"/>
      <c r="E34" s="20"/>
      <c r="F34" s="20"/>
      <c r="G34" s="20"/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0"/>
      <c r="B36" s="20"/>
      <c r="C36" s="20"/>
      <c r="D36" s="20"/>
      <c r="E36" s="20"/>
      <c r="F36" s="20"/>
      <c r="G36" s="20"/>
    </row>
  </sheetData>
  <sheetProtection/>
  <mergeCells count="13">
    <mergeCell ref="F14:F17"/>
    <mergeCell ref="E9:G9"/>
    <mergeCell ref="A10:G10"/>
    <mergeCell ref="A11:G11"/>
    <mergeCell ref="B12:E12"/>
    <mergeCell ref="F12:G12"/>
    <mergeCell ref="F13:G13"/>
    <mergeCell ref="A2:G2"/>
    <mergeCell ref="A3:G3"/>
    <mergeCell ref="A4:G4"/>
    <mergeCell ref="A5:G5"/>
    <mergeCell ref="E7:G7"/>
    <mergeCell ref="E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6">
      <selection activeCell="G26" sqref="G26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8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59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88"/>
      <c r="C13" s="90"/>
      <c r="D13" s="90"/>
      <c r="E13" s="89"/>
      <c r="F13" s="163" t="s">
        <v>37</v>
      </c>
      <c r="G13" s="164"/>
    </row>
    <row r="14" spans="1:7" ht="18">
      <c r="A14" s="8"/>
      <c r="B14" s="87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89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7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f>'2квартал2019г.'!G19</f>
        <v>1235.5</v>
      </c>
      <c r="G19" s="18">
        <f>F19</f>
        <v>1235.5</v>
      </c>
    </row>
    <row r="20" spans="1:7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f>'2квартал2019г.'!G20</f>
        <v>1219</v>
      </c>
      <c r="G20" s="18">
        <f>F20</f>
        <v>1219</v>
      </c>
    </row>
    <row r="21" spans="1:7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f>'2квартал2019г.'!G21</f>
        <v>1270</v>
      </c>
      <c r="G21" s="18">
        <f>F21-35</f>
        <v>1235</v>
      </c>
    </row>
    <row r="22" spans="1:7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f>'2квартал2019г.'!G22</f>
        <v>1194</v>
      </c>
      <c r="G22" s="18">
        <f>F22</f>
        <v>1194</v>
      </c>
    </row>
    <row r="23" spans="1:7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f>'2квартал2019г.'!G23</f>
        <v>1082</v>
      </c>
      <c r="G23" s="18">
        <f>F23</f>
        <v>1082</v>
      </c>
    </row>
    <row r="24" spans="1:7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f>'2квартал2019г.'!G24</f>
        <v>963.8</v>
      </c>
      <c r="G24" s="18">
        <f>F24-25-25+24+24</f>
        <v>961.8</v>
      </c>
    </row>
    <row r="25" spans="1:7" ht="18">
      <c r="A25" s="17">
        <v>7</v>
      </c>
      <c r="B25" s="17" t="s">
        <v>47</v>
      </c>
      <c r="C25" s="17" t="s">
        <v>33</v>
      </c>
      <c r="D25" s="18">
        <v>2</v>
      </c>
      <c r="E25" s="18">
        <f>1250*2</f>
        <v>2500</v>
      </c>
      <c r="F25" s="18">
        <f>'2квартал2019г.'!G25</f>
        <v>1452.5</v>
      </c>
      <c r="G25" s="18">
        <f>F25</f>
        <v>1452.5</v>
      </c>
    </row>
    <row r="26" spans="1:7" ht="18">
      <c r="A26" s="17">
        <v>8</v>
      </c>
      <c r="B26" s="17" t="s">
        <v>48</v>
      </c>
      <c r="C26" s="17" t="s">
        <v>33</v>
      </c>
      <c r="D26" s="18">
        <v>2</v>
      </c>
      <c r="E26" s="18">
        <f>1000*2</f>
        <v>2000</v>
      </c>
      <c r="F26" s="18">
        <f>'2квартал2019г.'!G26</f>
        <v>1184</v>
      </c>
      <c r="G26" s="18">
        <f>F26</f>
        <v>1184</v>
      </c>
    </row>
    <row r="27" spans="1:7" ht="18">
      <c r="A27" s="17">
        <v>9</v>
      </c>
      <c r="B27" s="17" t="s">
        <v>49</v>
      </c>
      <c r="C27" s="17" t="s">
        <v>33</v>
      </c>
      <c r="D27" s="18">
        <v>2</v>
      </c>
      <c r="E27" s="18">
        <f>1000*2</f>
        <v>2000</v>
      </c>
      <c r="F27" s="18">
        <f>'2квартал2019г.'!G27</f>
        <v>1092</v>
      </c>
      <c r="G27" s="18">
        <f>F27</f>
        <v>1092</v>
      </c>
    </row>
    <row r="28" spans="1:7" ht="18">
      <c r="A28" s="19" t="s">
        <v>34</v>
      </c>
      <c r="B28" s="19"/>
      <c r="C28" s="19"/>
      <c r="D28" s="19"/>
      <c r="E28" s="16">
        <f>SUM(E19:E27)</f>
        <v>18500</v>
      </c>
      <c r="F28" s="16">
        <f>SUM(F19:F27)</f>
        <v>10692.8</v>
      </c>
      <c r="G28" s="16">
        <f>SUM(G19:G27)</f>
        <v>10655.8</v>
      </c>
    </row>
    <row r="29" spans="1:7" ht="18">
      <c r="A29" s="20"/>
      <c r="B29" s="20"/>
      <c r="C29" s="20"/>
      <c r="D29" s="20"/>
      <c r="E29" s="20"/>
      <c r="F29" s="20"/>
      <c r="G29" s="20"/>
    </row>
    <row r="30" spans="1:7" ht="18">
      <c r="A30" s="21" t="s">
        <v>50</v>
      </c>
      <c r="B30" s="20"/>
      <c r="C30" s="20"/>
      <c r="D30" s="20"/>
      <c r="E30" s="20"/>
      <c r="F30" s="20"/>
      <c r="G30" s="20"/>
    </row>
    <row r="31" spans="1:7" ht="18">
      <c r="A31" s="21" t="s">
        <v>35</v>
      </c>
      <c r="B31" s="20"/>
      <c r="C31" s="20"/>
      <c r="D31" s="20"/>
      <c r="E31" s="20"/>
      <c r="F31" s="20"/>
      <c r="G31" s="20"/>
    </row>
    <row r="32" spans="1:7" ht="18">
      <c r="A32" s="20"/>
      <c r="B32" s="20"/>
      <c r="C32" s="20"/>
      <c r="D32" s="20"/>
      <c r="E32" s="20"/>
      <c r="F32" s="20"/>
      <c r="G32" s="20"/>
    </row>
    <row r="33" spans="1:7" ht="18">
      <c r="A33" s="20"/>
      <c r="B33" s="20"/>
      <c r="C33" s="20"/>
      <c r="D33" s="20"/>
      <c r="E33" s="20"/>
      <c r="F33" s="20"/>
      <c r="G33" s="20"/>
    </row>
    <row r="34" spans="1:7" ht="18">
      <c r="A34" s="20"/>
      <c r="B34" s="20"/>
      <c r="C34" s="20"/>
      <c r="D34" s="20"/>
      <c r="E34" s="20"/>
      <c r="F34" s="20"/>
      <c r="G34" s="20"/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0"/>
      <c r="B36" s="20"/>
      <c r="C36" s="20"/>
      <c r="D36" s="20"/>
      <c r="E36" s="20"/>
      <c r="F36" s="20"/>
      <c r="G36" s="20"/>
    </row>
  </sheetData>
  <sheetProtection/>
  <mergeCells count="13">
    <mergeCell ref="F14:F17"/>
    <mergeCell ref="E9:G9"/>
    <mergeCell ref="A10:G10"/>
    <mergeCell ref="A11:G11"/>
    <mergeCell ref="B12:E12"/>
    <mergeCell ref="F12:G12"/>
    <mergeCell ref="F13:G13"/>
    <mergeCell ref="A2:G2"/>
    <mergeCell ref="A3:G3"/>
    <mergeCell ref="A4:G4"/>
    <mergeCell ref="A5:G5"/>
    <mergeCell ref="E7:G7"/>
    <mergeCell ref="E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8">
      <selection activeCell="I30" sqref="I30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8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60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92"/>
      <c r="C13" s="94"/>
      <c r="D13" s="94"/>
      <c r="E13" s="93"/>
      <c r="F13" s="163" t="s">
        <v>37</v>
      </c>
      <c r="G13" s="164"/>
    </row>
    <row r="14" spans="1:7" ht="18">
      <c r="A14" s="8"/>
      <c r="B14" s="91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93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7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f>'3квартала2019г.'!G19</f>
        <v>1235.5</v>
      </c>
      <c r="G19" s="18">
        <f>F19</f>
        <v>1235.5</v>
      </c>
    </row>
    <row r="20" spans="1:7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f>'3квартала2019г.'!G20</f>
        <v>1219</v>
      </c>
      <c r="G20" s="18">
        <f>F20-98</f>
        <v>1121</v>
      </c>
    </row>
    <row r="21" spans="1:7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f>'3квартала2019г.'!G21</f>
        <v>1235</v>
      </c>
      <c r="G21" s="18">
        <f aca="true" t="shared" si="0" ref="G21:G30">F21</f>
        <v>1235</v>
      </c>
    </row>
    <row r="22" spans="1:7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f>'3квартала2019г.'!G22</f>
        <v>1194</v>
      </c>
      <c r="G22" s="18">
        <f t="shared" si="0"/>
        <v>1194</v>
      </c>
    </row>
    <row r="23" spans="1:7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f>'3квартала2019г.'!G23</f>
        <v>1082</v>
      </c>
      <c r="G23" s="18">
        <f t="shared" si="0"/>
        <v>1082</v>
      </c>
    </row>
    <row r="24" spans="1:7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f>'3квартала2019г.'!G24</f>
        <v>961.8</v>
      </c>
      <c r="G24" s="18">
        <f>F24-111</f>
        <v>850.8</v>
      </c>
    </row>
    <row r="25" spans="1:7" ht="18">
      <c r="A25" s="17">
        <v>7</v>
      </c>
      <c r="B25" s="17" t="s">
        <v>47</v>
      </c>
      <c r="C25" s="17" t="s">
        <v>33</v>
      </c>
      <c r="D25" s="18">
        <v>2</v>
      </c>
      <c r="E25" s="18">
        <f>1250*2</f>
        <v>2500</v>
      </c>
      <c r="F25" s="18">
        <f>'3квартала2019г.'!G25+206.5</f>
        <v>1659</v>
      </c>
      <c r="G25" s="18">
        <f>F25-2</f>
        <v>1657</v>
      </c>
    </row>
    <row r="26" spans="1:7" ht="18">
      <c r="A26" s="17">
        <v>8</v>
      </c>
      <c r="B26" s="17" t="s">
        <v>48</v>
      </c>
      <c r="C26" s="17" t="s">
        <v>33</v>
      </c>
      <c r="D26" s="18">
        <v>2</v>
      </c>
      <c r="E26" s="18">
        <f>1000*2</f>
        <v>2000</v>
      </c>
      <c r="F26" s="18">
        <f>'3квартала2019г.'!G26</f>
        <v>1184</v>
      </c>
      <c r="G26" s="18">
        <f t="shared" si="0"/>
        <v>1184</v>
      </c>
    </row>
    <row r="27" spans="1:7" ht="18">
      <c r="A27" s="17">
        <v>9</v>
      </c>
      <c r="B27" s="17" t="s">
        <v>49</v>
      </c>
      <c r="C27" s="17" t="s">
        <v>33</v>
      </c>
      <c r="D27" s="18">
        <v>2</v>
      </c>
      <c r="E27" s="18">
        <f>1000*2</f>
        <v>2000</v>
      </c>
      <c r="F27" s="18">
        <f>'3квартала2019г.'!G27</f>
        <v>1092</v>
      </c>
      <c r="G27" s="18">
        <f t="shared" si="0"/>
        <v>1092</v>
      </c>
    </row>
    <row r="28" spans="1:9" ht="18">
      <c r="A28" s="17">
        <v>10</v>
      </c>
      <c r="B28" s="17" t="s">
        <v>61</v>
      </c>
      <c r="C28" s="17" t="s">
        <v>33</v>
      </c>
      <c r="D28" s="18">
        <v>2</v>
      </c>
      <c r="E28" s="18">
        <f>1000*2</f>
        <v>2000</v>
      </c>
      <c r="F28" s="18">
        <v>2000</v>
      </c>
      <c r="G28" s="18">
        <f>F28-86-161.5-161.5</f>
        <v>1591</v>
      </c>
      <c r="I28" s="109"/>
    </row>
    <row r="29" spans="1:7" ht="18">
      <c r="A29" s="17">
        <v>11</v>
      </c>
      <c r="B29" s="17" t="s">
        <v>62</v>
      </c>
      <c r="C29" s="17" t="s">
        <v>33</v>
      </c>
      <c r="D29" s="18">
        <v>2</v>
      </c>
      <c r="E29" s="18">
        <f>1000*2</f>
        <v>2000</v>
      </c>
      <c r="F29" s="18">
        <v>2000</v>
      </c>
      <c r="G29" s="18">
        <f t="shared" si="0"/>
        <v>2000</v>
      </c>
    </row>
    <row r="30" spans="1:7" ht="18">
      <c r="A30" s="17">
        <v>12</v>
      </c>
      <c r="B30" s="17" t="s">
        <v>63</v>
      </c>
      <c r="C30" s="17" t="s">
        <v>33</v>
      </c>
      <c r="D30" s="18">
        <v>2</v>
      </c>
      <c r="E30" s="18">
        <f>1000*2</f>
        <v>2000</v>
      </c>
      <c r="F30" s="18">
        <f>2000-206.5</f>
        <v>1793.5</v>
      </c>
      <c r="G30" s="18">
        <f t="shared" si="0"/>
        <v>1793.5</v>
      </c>
    </row>
    <row r="31" spans="1:7" ht="18">
      <c r="A31" s="19" t="s">
        <v>34</v>
      </c>
      <c r="B31" s="19"/>
      <c r="C31" s="19"/>
      <c r="D31" s="19"/>
      <c r="E31" s="16">
        <f>SUM(E19:E30)</f>
        <v>24500</v>
      </c>
      <c r="F31" s="16">
        <f>SUM(F19:F30)</f>
        <v>16655.8</v>
      </c>
      <c r="G31" s="95">
        <f>SUM(G19:G30)</f>
        <v>16035.8</v>
      </c>
    </row>
    <row r="32" spans="1:7" ht="18">
      <c r="A32" s="20"/>
      <c r="B32" s="20"/>
      <c r="C32" s="20"/>
      <c r="D32" s="20"/>
      <c r="E32" s="20"/>
      <c r="F32" s="20"/>
      <c r="G32" s="20"/>
    </row>
    <row r="33" spans="1:7" ht="18">
      <c r="A33" s="21" t="s">
        <v>50</v>
      </c>
      <c r="B33" s="20"/>
      <c r="C33" s="20"/>
      <c r="D33" s="20"/>
      <c r="E33" s="20"/>
      <c r="F33" s="20"/>
      <c r="G33" s="20"/>
    </row>
    <row r="34" spans="1:7" ht="18">
      <c r="A34" s="21" t="s">
        <v>35</v>
      </c>
      <c r="B34" s="20"/>
      <c r="C34" s="20"/>
      <c r="D34" s="20"/>
      <c r="E34" s="20"/>
      <c r="F34" s="20"/>
      <c r="G34" s="20"/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0"/>
      <c r="B36" s="20"/>
      <c r="C36" s="20"/>
      <c r="D36" s="20"/>
      <c r="E36" s="20"/>
      <c r="F36" s="20"/>
      <c r="G36" s="20"/>
    </row>
    <row r="37" spans="1:7" ht="18">
      <c r="A37" s="20"/>
      <c r="B37" s="20"/>
      <c r="C37" s="20"/>
      <c r="D37" s="20"/>
      <c r="E37" s="20"/>
      <c r="F37" s="20"/>
      <c r="G37" s="20"/>
    </row>
    <row r="38" spans="1:7" ht="18">
      <c r="A38" s="20"/>
      <c r="B38" s="20"/>
      <c r="C38" s="20"/>
      <c r="D38" s="20"/>
      <c r="E38" s="20"/>
      <c r="F38" s="20"/>
      <c r="G38" s="20"/>
    </row>
    <row r="39" spans="1:7" ht="18">
      <c r="A39" s="20"/>
      <c r="B39" s="20"/>
      <c r="C39" s="20"/>
      <c r="D39" s="20"/>
      <c r="E39" s="20"/>
      <c r="F39" s="20"/>
      <c r="G39" s="20"/>
    </row>
  </sheetData>
  <sheetProtection/>
  <mergeCells count="13">
    <mergeCell ref="A2:G2"/>
    <mergeCell ref="A3:G3"/>
    <mergeCell ref="A4:G4"/>
    <mergeCell ref="A5:G5"/>
    <mergeCell ref="E7:G7"/>
    <mergeCell ref="E8:G8"/>
    <mergeCell ref="F14:F17"/>
    <mergeCell ref="E9:G9"/>
    <mergeCell ref="A10:G10"/>
    <mergeCell ref="A11:G11"/>
    <mergeCell ref="B12:E12"/>
    <mergeCell ref="F12:G12"/>
    <mergeCell ref="F13:G1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3">
      <selection activeCell="G28" sqref="G28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8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38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23"/>
      <c r="C13" s="25"/>
      <c r="D13" s="25"/>
      <c r="E13" s="24"/>
      <c r="F13" s="163" t="s">
        <v>37</v>
      </c>
      <c r="G13" s="164"/>
    </row>
    <row r="14" spans="1:7" ht="18">
      <c r="A14" s="8"/>
      <c r="B14" s="22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24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7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v>1342</v>
      </c>
      <c r="G19" s="18">
        <f>F19+54-75</f>
        <v>1321</v>
      </c>
    </row>
    <row r="20" spans="1:7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v>1611</v>
      </c>
      <c r="G20" s="18">
        <f>F20+54-83-43-52</f>
        <v>1487</v>
      </c>
    </row>
    <row r="21" spans="1:7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v>1537</v>
      </c>
      <c r="G21" s="18">
        <f>F21</f>
        <v>1537</v>
      </c>
    </row>
    <row r="22" spans="1:7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v>1846</v>
      </c>
      <c r="G22" s="18">
        <f>F22-78</f>
        <v>1768</v>
      </c>
    </row>
    <row r="23" spans="1:7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v>2000</v>
      </c>
      <c r="G23" s="18">
        <f>F23-78-69-78-55-55</f>
        <v>1665</v>
      </c>
    </row>
    <row r="24" spans="1:7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v>2000</v>
      </c>
      <c r="G24" s="18">
        <f>F24</f>
        <v>2000</v>
      </c>
    </row>
    <row r="25" spans="1:7" ht="18">
      <c r="A25" s="19" t="s">
        <v>34</v>
      </c>
      <c r="B25" s="19"/>
      <c r="C25" s="19"/>
      <c r="D25" s="19"/>
      <c r="E25" s="16">
        <f>E19+E20+E21+E22+E23+E24</f>
        <v>12000</v>
      </c>
      <c r="F25" s="16">
        <f>F19+F20+F21+F22+F23+F24</f>
        <v>10336</v>
      </c>
      <c r="G25" s="16">
        <f>G19+G20+G21+G22+G23+G24</f>
        <v>9778</v>
      </c>
    </row>
    <row r="26" spans="1:7" ht="18">
      <c r="A26" s="20"/>
      <c r="B26" s="20"/>
      <c r="C26" s="20"/>
      <c r="D26" s="20"/>
      <c r="E26" s="20"/>
      <c r="F26" s="20"/>
      <c r="G26" s="20"/>
    </row>
    <row r="27" spans="1:7" ht="18">
      <c r="A27" s="21" t="s">
        <v>36</v>
      </c>
      <c r="B27" s="20"/>
      <c r="C27" s="20"/>
      <c r="D27" s="20"/>
      <c r="E27" s="20"/>
      <c r="F27" s="20"/>
      <c r="G27" s="20"/>
    </row>
    <row r="28" spans="1:7" ht="18">
      <c r="A28" s="21" t="s">
        <v>35</v>
      </c>
      <c r="B28" s="20"/>
      <c r="C28" s="20"/>
      <c r="D28" s="20"/>
      <c r="E28" s="20"/>
      <c r="F28" s="20"/>
      <c r="G28" s="20"/>
    </row>
    <row r="29" spans="1:7" ht="18">
      <c r="A29" s="20"/>
      <c r="B29" s="20"/>
      <c r="C29" s="20"/>
      <c r="D29" s="20"/>
      <c r="E29" s="20"/>
      <c r="F29" s="20"/>
      <c r="G29" s="20"/>
    </row>
    <row r="30" spans="1:7" ht="18">
      <c r="A30" s="20"/>
      <c r="B30" s="20"/>
      <c r="C30" s="20"/>
      <c r="D30" s="20"/>
      <c r="E30" s="20"/>
      <c r="F30" s="20"/>
      <c r="G30" s="20"/>
    </row>
    <row r="31" spans="1:7" ht="18">
      <c r="A31" s="20"/>
      <c r="B31" s="20"/>
      <c r="C31" s="20"/>
      <c r="D31" s="20"/>
      <c r="E31" s="20"/>
      <c r="F31" s="20"/>
      <c r="G31" s="20"/>
    </row>
    <row r="32" spans="1:7" ht="18">
      <c r="A32" s="20"/>
      <c r="B32" s="20"/>
      <c r="C32" s="20"/>
      <c r="D32" s="20"/>
      <c r="E32" s="20"/>
      <c r="F32" s="20"/>
      <c r="G32" s="20"/>
    </row>
    <row r="33" spans="1:7" ht="18">
      <c r="A33" s="20"/>
      <c r="B33" s="20"/>
      <c r="C33" s="20"/>
      <c r="D33" s="20"/>
      <c r="E33" s="20"/>
      <c r="F33" s="20"/>
      <c r="G33" s="20"/>
    </row>
  </sheetData>
  <sheetProtection/>
  <mergeCells count="13">
    <mergeCell ref="A2:G2"/>
    <mergeCell ref="A3:G3"/>
    <mergeCell ref="A4:G4"/>
    <mergeCell ref="A5:G5"/>
    <mergeCell ref="E7:G7"/>
    <mergeCell ref="E8:G8"/>
    <mergeCell ref="F14:F17"/>
    <mergeCell ref="E9:G9"/>
    <mergeCell ref="A10:G10"/>
    <mergeCell ref="A11:G11"/>
    <mergeCell ref="B12:E12"/>
    <mergeCell ref="F12:G12"/>
    <mergeCell ref="F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7">
      <selection activeCell="F19" sqref="F19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64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65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97"/>
      <c r="C13" s="99"/>
      <c r="D13" s="99"/>
      <c r="E13" s="98"/>
      <c r="F13" s="163" t="s">
        <v>37</v>
      </c>
      <c r="G13" s="164"/>
    </row>
    <row r="14" spans="1:7" ht="18">
      <c r="A14" s="8"/>
      <c r="B14" s="96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98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7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f>'4квартал2019г.'!G19</f>
        <v>1235.5</v>
      </c>
      <c r="G19" s="18">
        <f>F19</f>
        <v>1235.5</v>
      </c>
    </row>
    <row r="20" spans="1:7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f>'4квартал2019г.'!G20</f>
        <v>1121</v>
      </c>
      <c r="G20" s="18">
        <f aca="true" t="shared" si="0" ref="G20:G30">F20</f>
        <v>1121</v>
      </c>
    </row>
    <row r="21" spans="1:7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f>'4квартал2019г.'!G21</f>
        <v>1235</v>
      </c>
      <c r="G21" s="18">
        <f>F21-95+48</f>
        <v>1188</v>
      </c>
    </row>
    <row r="22" spans="1:7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f>'4квартал2019г.'!G22</f>
        <v>1194</v>
      </c>
      <c r="G22" s="18">
        <f t="shared" si="0"/>
        <v>1194</v>
      </c>
    </row>
    <row r="23" spans="1:7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f>'4квартал2019г.'!G23</f>
        <v>1082</v>
      </c>
      <c r="G23" s="18">
        <f t="shared" si="0"/>
        <v>1082</v>
      </c>
    </row>
    <row r="24" spans="1:7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f>'4квартал2019г.'!G24</f>
        <v>850.8</v>
      </c>
      <c r="G24" s="18">
        <f t="shared" si="0"/>
        <v>850.8</v>
      </c>
    </row>
    <row r="25" spans="1:7" ht="18">
      <c r="A25" s="17">
        <v>7</v>
      </c>
      <c r="B25" s="17" t="s">
        <v>47</v>
      </c>
      <c r="C25" s="17" t="s">
        <v>33</v>
      </c>
      <c r="D25" s="18">
        <v>2</v>
      </c>
      <c r="E25" s="18">
        <f>1250*2</f>
        <v>2500</v>
      </c>
      <c r="F25" s="18">
        <f>'4квартал2019г.'!G25</f>
        <v>1657</v>
      </c>
      <c r="G25" s="18">
        <f t="shared" si="0"/>
        <v>1657</v>
      </c>
    </row>
    <row r="26" spans="1:7" ht="18">
      <c r="A26" s="17">
        <v>8</v>
      </c>
      <c r="B26" s="17" t="s">
        <v>48</v>
      </c>
      <c r="C26" s="17" t="s">
        <v>33</v>
      </c>
      <c r="D26" s="18">
        <v>2</v>
      </c>
      <c r="E26" s="18">
        <f>1000*2</f>
        <v>2000</v>
      </c>
      <c r="F26" s="18">
        <f>'4квартал2019г.'!G26</f>
        <v>1184</v>
      </c>
      <c r="G26" s="18">
        <f t="shared" si="0"/>
        <v>1184</v>
      </c>
    </row>
    <row r="27" spans="1:7" ht="18">
      <c r="A27" s="17">
        <v>9</v>
      </c>
      <c r="B27" s="17" t="s">
        <v>49</v>
      </c>
      <c r="C27" s="17" t="s">
        <v>33</v>
      </c>
      <c r="D27" s="18">
        <v>2</v>
      </c>
      <c r="E27" s="18">
        <f>1000*2</f>
        <v>2000</v>
      </c>
      <c r="F27" s="18">
        <f>'4квартал2019г.'!G27</f>
        <v>1092</v>
      </c>
      <c r="G27" s="18">
        <f t="shared" si="0"/>
        <v>1092</v>
      </c>
    </row>
    <row r="28" spans="1:7" ht="18">
      <c r="A28" s="17">
        <v>10</v>
      </c>
      <c r="B28" s="17" t="s">
        <v>61</v>
      </c>
      <c r="C28" s="17" t="s">
        <v>33</v>
      </c>
      <c r="D28" s="18">
        <v>2</v>
      </c>
      <c r="E28" s="18">
        <f>1000*2</f>
        <v>2000</v>
      </c>
      <c r="F28" s="18">
        <f>'4квартал2019г.'!G28</f>
        <v>1591</v>
      </c>
      <c r="G28" s="18">
        <f>F28-66.33-68.33-88.2-72.4-108.74</f>
        <v>1187</v>
      </c>
    </row>
    <row r="29" spans="1:7" ht="18">
      <c r="A29" s="17">
        <v>11</v>
      </c>
      <c r="B29" s="17" t="s">
        <v>62</v>
      </c>
      <c r="C29" s="17" t="s">
        <v>33</v>
      </c>
      <c r="D29" s="18">
        <v>2</v>
      </c>
      <c r="E29" s="18">
        <f>1000*2</f>
        <v>2000</v>
      </c>
      <c r="F29" s="18">
        <f>'4квартал2019г.'!G29</f>
        <v>2000</v>
      </c>
      <c r="G29" s="18">
        <f t="shared" si="0"/>
        <v>2000</v>
      </c>
    </row>
    <row r="30" spans="1:7" ht="18">
      <c r="A30" s="17">
        <v>12</v>
      </c>
      <c r="B30" s="17" t="s">
        <v>63</v>
      </c>
      <c r="C30" s="17" t="s">
        <v>33</v>
      </c>
      <c r="D30" s="18">
        <v>2</v>
      </c>
      <c r="E30" s="18">
        <f>1000*2</f>
        <v>2000</v>
      </c>
      <c r="F30" s="18">
        <f>'4квартал2019г.'!G30</f>
        <v>1793.5</v>
      </c>
      <c r="G30" s="18">
        <f t="shared" si="0"/>
        <v>1793.5</v>
      </c>
    </row>
    <row r="31" spans="1:7" ht="18">
      <c r="A31" s="19" t="s">
        <v>34</v>
      </c>
      <c r="B31" s="19"/>
      <c r="C31" s="19"/>
      <c r="D31" s="19"/>
      <c r="E31" s="16">
        <f>SUM(E19:E30)</f>
        <v>24500</v>
      </c>
      <c r="F31" s="16">
        <f>SUM(F19:F30)</f>
        <v>16035.8</v>
      </c>
      <c r="G31" s="95">
        <f>SUM(G19:G30)</f>
        <v>15584.8</v>
      </c>
    </row>
    <row r="32" spans="1:7" ht="18">
      <c r="A32" s="20"/>
      <c r="B32" s="20"/>
      <c r="C32" s="20"/>
      <c r="D32" s="20"/>
      <c r="E32" s="20"/>
      <c r="F32" s="20"/>
      <c r="G32" s="20"/>
    </row>
    <row r="33" spans="1:7" ht="18">
      <c r="A33" s="21"/>
      <c r="B33" s="20"/>
      <c r="C33" s="20"/>
      <c r="D33" s="20"/>
      <c r="E33" s="20"/>
      <c r="F33" s="20"/>
      <c r="G33" s="100">
        <f>E31-G31</f>
        <v>8915.2</v>
      </c>
    </row>
    <row r="34" spans="1:7" ht="18">
      <c r="A34" s="21"/>
      <c r="B34" s="20"/>
      <c r="C34" s="20"/>
      <c r="D34" s="20"/>
      <c r="E34" s="20"/>
      <c r="F34" s="20"/>
      <c r="G34" s="20"/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0"/>
      <c r="B36" s="20"/>
      <c r="C36" s="20"/>
      <c r="D36" s="20"/>
      <c r="E36" s="20"/>
      <c r="F36" s="20"/>
      <c r="G36" s="100"/>
    </row>
    <row r="37" spans="1:7" ht="18">
      <c r="A37" s="20"/>
      <c r="B37" s="20"/>
      <c r="C37" s="20"/>
      <c r="D37" s="20"/>
      <c r="E37" s="20"/>
      <c r="F37" s="20"/>
      <c r="G37" s="20"/>
    </row>
    <row r="38" spans="1:7" ht="18">
      <c r="A38" s="20"/>
      <c r="B38" s="20"/>
      <c r="C38" s="20"/>
      <c r="D38" s="20"/>
      <c r="E38" s="20"/>
      <c r="F38" s="20"/>
      <c r="G38" s="20"/>
    </row>
    <row r="39" spans="1:7" ht="18">
      <c r="A39" s="20"/>
      <c r="B39" s="20"/>
      <c r="C39" s="20"/>
      <c r="D39" s="20"/>
      <c r="E39" s="20"/>
      <c r="F39" s="20"/>
      <c r="G39" s="20"/>
    </row>
  </sheetData>
  <sheetProtection/>
  <mergeCells count="13">
    <mergeCell ref="A2:G2"/>
    <mergeCell ref="A3:G3"/>
    <mergeCell ref="A4:G4"/>
    <mergeCell ref="A5:G5"/>
    <mergeCell ref="E7:G7"/>
    <mergeCell ref="E8:G8"/>
    <mergeCell ref="F14:F17"/>
    <mergeCell ref="E9:G9"/>
    <mergeCell ref="A10:G10"/>
    <mergeCell ref="A11:G11"/>
    <mergeCell ref="B12:E12"/>
    <mergeCell ref="F12:G12"/>
    <mergeCell ref="F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6">
      <selection activeCell="F19" sqref="F19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8" width="9.140625" style="1" customWidth="1"/>
    <col min="9" max="9" width="10.57421875" style="1" bestFit="1" customWidth="1"/>
    <col min="10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64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66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102"/>
      <c r="C13" s="104"/>
      <c r="D13" s="104"/>
      <c r="E13" s="103"/>
      <c r="F13" s="163" t="s">
        <v>37</v>
      </c>
      <c r="G13" s="164"/>
    </row>
    <row r="14" spans="1:7" ht="18">
      <c r="A14" s="8"/>
      <c r="B14" s="101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103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9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f>'1квартал2020г.'!G19</f>
        <v>1235.5</v>
      </c>
      <c r="G19" s="18">
        <f>F19</f>
        <v>1235.5</v>
      </c>
      <c r="I19" s="110">
        <f>G19-E19</f>
        <v>-764.5</v>
      </c>
    </row>
    <row r="20" spans="1:9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f>'1квартал2020г.'!G20</f>
        <v>1121</v>
      </c>
      <c r="G20" s="18">
        <f aca="true" t="shared" si="0" ref="G20:G30">F20</f>
        <v>1121</v>
      </c>
      <c r="I20" s="110">
        <f aca="true" t="shared" si="1" ref="I20:I30">G20-E20</f>
        <v>-879</v>
      </c>
    </row>
    <row r="21" spans="1:9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f>'1квартал2020г.'!G21</f>
        <v>1188</v>
      </c>
      <c r="G21" s="18">
        <f t="shared" si="0"/>
        <v>1188</v>
      </c>
      <c r="I21" s="110">
        <f t="shared" si="1"/>
        <v>-812</v>
      </c>
    </row>
    <row r="22" spans="1:9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f>'1квартал2020г.'!G22</f>
        <v>1194</v>
      </c>
      <c r="G22" s="18">
        <f t="shared" si="0"/>
        <v>1194</v>
      </c>
      <c r="I22" s="110">
        <f t="shared" si="1"/>
        <v>-806</v>
      </c>
    </row>
    <row r="23" spans="1:9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f>'1квартал2020г.'!G23</f>
        <v>1082</v>
      </c>
      <c r="G23" s="18">
        <f t="shared" si="0"/>
        <v>1082</v>
      </c>
      <c r="I23" s="110">
        <f t="shared" si="1"/>
        <v>-918</v>
      </c>
    </row>
    <row r="24" spans="1:9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f>'1квартал2020г.'!G24</f>
        <v>850.8</v>
      </c>
      <c r="G24" s="18">
        <f t="shared" si="0"/>
        <v>850.8</v>
      </c>
      <c r="I24" s="110">
        <f t="shared" si="1"/>
        <v>-1149.2</v>
      </c>
    </row>
    <row r="25" spans="1:9" ht="18">
      <c r="A25" s="17">
        <v>7</v>
      </c>
      <c r="B25" s="17" t="s">
        <v>47</v>
      </c>
      <c r="C25" s="17" t="s">
        <v>33</v>
      </c>
      <c r="D25" s="18">
        <v>2</v>
      </c>
      <c r="E25" s="18">
        <f>1250*2</f>
        <v>2500</v>
      </c>
      <c r="F25" s="18">
        <f>'1квартал2020г.'!G25</f>
        <v>1657</v>
      </c>
      <c r="G25" s="18">
        <f t="shared" si="0"/>
        <v>1657</v>
      </c>
      <c r="I25" s="110">
        <f t="shared" si="1"/>
        <v>-843</v>
      </c>
    </row>
    <row r="26" spans="1:9" ht="18">
      <c r="A26" s="17">
        <v>8</v>
      </c>
      <c r="B26" s="17" t="s">
        <v>48</v>
      </c>
      <c r="C26" s="17" t="s">
        <v>33</v>
      </c>
      <c r="D26" s="18">
        <v>2</v>
      </c>
      <c r="E26" s="18">
        <f>1000*2</f>
        <v>2000</v>
      </c>
      <c r="F26" s="18">
        <f>'1квартал2020г.'!G26</f>
        <v>1184</v>
      </c>
      <c r="G26" s="18">
        <f t="shared" si="0"/>
        <v>1184</v>
      </c>
      <c r="I26" s="110">
        <f t="shared" si="1"/>
        <v>-816</v>
      </c>
    </row>
    <row r="27" spans="1:9" ht="18">
      <c r="A27" s="17">
        <v>9</v>
      </c>
      <c r="B27" s="17" t="s">
        <v>49</v>
      </c>
      <c r="C27" s="17" t="s">
        <v>33</v>
      </c>
      <c r="D27" s="18">
        <v>2</v>
      </c>
      <c r="E27" s="18">
        <f>1000*2</f>
        <v>2000</v>
      </c>
      <c r="F27" s="18">
        <f>'1квартал2020г.'!G27</f>
        <v>1092</v>
      </c>
      <c r="G27" s="18">
        <f t="shared" si="0"/>
        <v>1092</v>
      </c>
      <c r="I27" s="110">
        <f t="shared" si="1"/>
        <v>-908</v>
      </c>
    </row>
    <row r="28" spans="1:9" ht="18">
      <c r="A28" s="17">
        <v>10</v>
      </c>
      <c r="B28" s="17" t="s">
        <v>61</v>
      </c>
      <c r="C28" s="17" t="s">
        <v>33</v>
      </c>
      <c r="D28" s="18">
        <v>2</v>
      </c>
      <c r="E28" s="18">
        <f>1000*2</f>
        <v>2000</v>
      </c>
      <c r="F28" s="18">
        <f>'1квартал2020г.'!G28</f>
        <v>1187</v>
      </c>
      <c r="G28" s="18">
        <f>F28-161.5</f>
        <v>1025.5</v>
      </c>
      <c r="I28" s="110">
        <f t="shared" si="1"/>
        <v>-974.5</v>
      </c>
    </row>
    <row r="29" spans="1:9" ht="18">
      <c r="A29" s="17">
        <v>11</v>
      </c>
      <c r="B29" s="17" t="s">
        <v>62</v>
      </c>
      <c r="C29" s="17" t="s">
        <v>33</v>
      </c>
      <c r="D29" s="18">
        <v>2</v>
      </c>
      <c r="E29" s="18">
        <f>1000*2</f>
        <v>2000</v>
      </c>
      <c r="F29" s="18">
        <f>'1квартал2020г.'!G29</f>
        <v>2000</v>
      </c>
      <c r="G29" s="18">
        <f t="shared" si="0"/>
        <v>2000</v>
      </c>
      <c r="I29" s="110">
        <f t="shared" si="1"/>
        <v>0</v>
      </c>
    </row>
    <row r="30" spans="1:9" ht="18">
      <c r="A30" s="17">
        <v>12</v>
      </c>
      <c r="B30" s="17" t="s">
        <v>63</v>
      </c>
      <c r="C30" s="17" t="s">
        <v>33</v>
      </c>
      <c r="D30" s="18">
        <v>2</v>
      </c>
      <c r="E30" s="18">
        <f>1000*2</f>
        <v>2000</v>
      </c>
      <c r="F30" s="18">
        <f>'1квартал2020г.'!G30</f>
        <v>1793.5</v>
      </c>
      <c r="G30" s="18">
        <f t="shared" si="0"/>
        <v>1793.5</v>
      </c>
      <c r="I30" s="110">
        <f t="shared" si="1"/>
        <v>-206.5</v>
      </c>
    </row>
    <row r="31" spans="1:9" ht="18">
      <c r="A31" s="19" t="s">
        <v>34</v>
      </c>
      <c r="B31" s="19"/>
      <c r="C31" s="19"/>
      <c r="D31" s="19"/>
      <c r="E31" s="16">
        <f>SUM(E19:E30)</f>
        <v>24500</v>
      </c>
      <c r="F31" s="16">
        <f>SUM(F19:F30)</f>
        <v>15584.8</v>
      </c>
      <c r="G31" s="95">
        <f>SUM(G19:G30)</f>
        <v>15423.3</v>
      </c>
      <c r="I31" s="109">
        <f>SUM(I19:I30)</f>
        <v>-9076.7</v>
      </c>
    </row>
    <row r="32" spans="1:7" ht="18">
      <c r="A32" s="20"/>
      <c r="B32" s="20"/>
      <c r="C32" s="20"/>
      <c r="D32" s="20"/>
      <c r="E32" s="20"/>
      <c r="F32" s="20"/>
      <c r="G32" s="20"/>
    </row>
    <row r="33" spans="1:7" ht="18">
      <c r="A33" s="21"/>
      <c r="B33" s="20"/>
      <c r="C33" s="20"/>
      <c r="D33" s="20"/>
      <c r="E33" s="20"/>
      <c r="F33" s="20"/>
      <c r="G33" s="100">
        <f>E31-G31</f>
        <v>9076.7</v>
      </c>
    </row>
    <row r="34" spans="1:7" ht="18">
      <c r="A34" s="21"/>
      <c r="B34" s="20"/>
      <c r="C34" s="20"/>
      <c r="D34" s="20"/>
      <c r="E34" s="20"/>
      <c r="F34" s="20"/>
      <c r="G34" s="20"/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0"/>
      <c r="B36" s="20"/>
      <c r="C36" s="20"/>
      <c r="D36" s="20"/>
      <c r="E36" s="20"/>
      <c r="F36" s="20"/>
      <c r="G36" s="100"/>
    </row>
    <row r="37" spans="1:7" ht="18">
      <c r="A37" s="20"/>
      <c r="B37" s="20"/>
      <c r="C37" s="20"/>
      <c r="D37" s="20"/>
      <c r="E37" s="20"/>
      <c r="F37" s="20"/>
      <c r="G37" s="20"/>
    </row>
    <row r="38" spans="1:7" ht="18">
      <c r="A38" s="20"/>
      <c r="B38" s="20"/>
      <c r="C38" s="20"/>
      <c r="D38" s="20"/>
      <c r="E38" s="20"/>
      <c r="F38" s="20"/>
      <c r="G38" s="20"/>
    </row>
    <row r="39" spans="1:7" ht="18">
      <c r="A39" s="20"/>
      <c r="B39" s="20"/>
      <c r="C39" s="20"/>
      <c r="D39" s="20"/>
      <c r="E39" s="20"/>
      <c r="F39" s="20"/>
      <c r="G39" s="20"/>
    </row>
  </sheetData>
  <sheetProtection/>
  <mergeCells count="13">
    <mergeCell ref="A2:G2"/>
    <mergeCell ref="A3:G3"/>
    <mergeCell ref="A4:G4"/>
    <mergeCell ref="A5:G5"/>
    <mergeCell ref="E7:G7"/>
    <mergeCell ref="E8:G8"/>
    <mergeCell ref="F14:F17"/>
    <mergeCell ref="E9:G9"/>
    <mergeCell ref="A10:G10"/>
    <mergeCell ref="A11:G11"/>
    <mergeCell ref="B12:E12"/>
    <mergeCell ref="F12:G12"/>
    <mergeCell ref="F13:G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3">
      <selection activeCell="G19" sqref="G19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8" width="9.140625" style="1" customWidth="1"/>
    <col min="9" max="9" width="10.57421875" style="1" bestFit="1" customWidth="1"/>
    <col min="10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64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67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106"/>
      <c r="C13" s="108"/>
      <c r="D13" s="108"/>
      <c r="E13" s="107"/>
      <c r="F13" s="163" t="s">
        <v>68</v>
      </c>
      <c r="G13" s="164"/>
    </row>
    <row r="14" spans="1:7" ht="18">
      <c r="A14" s="8"/>
      <c r="B14" s="105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107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9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f>'2 квартал 2020г.'!G19</f>
        <v>1235.5</v>
      </c>
      <c r="G19" s="18">
        <f>F19</f>
        <v>1235.5</v>
      </c>
      <c r="I19" s="110">
        <f>G19-E19</f>
        <v>-764.5</v>
      </c>
    </row>
    <row r="20" spans="1:9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f>'2 квартал 2020г.'!G20</f>
        <v>1121</v>
      </c>
      <c r="G20" s="18">
        <f aca="true" t="shared" si="0" ref="G20:G30">F20</f>
        <v>1121</v>
      </c>
      <c r="I20" s="110">
        <f aca="true" t="shared" si="1" ref="I20:I30">G20-E20</f>
        <v>-879</v>
      </c>
    </row>
    <row r="21" spans="1:9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f>'2 квартал 2020г.'!G21</f>
        <v>1188</v>
      </c>
      <c r="G21" s="18">
        <f t="shared" si="0"/>
        <v>1188</v>
      </c>
      <c r="I21" s="110">
        <f t="shared" si="1"/>
        <v>-812</v>
      </c>
    </row>
    <row r="22" spans="1:9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f>'2 квартал 2020г.'!G22</f>
        <v>1194</v>
      </c>
      <c r="G22" s="18">
        <f t="shared" si="0"/>
        <v>1194</v>
      </c>
      <c r="I22" s="110">
        <f t="shared" si="1"/>
        <v>-806</v>
      </c>
    </row>
    <row r="23" spans="1:9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f>'2 квартал 2020г.'!G23</f>
        <v>1082</v>
      </c>
      <c r="G23" s="18">
        <f t="shared" si="0"/>
        <v>1082</v>
      </c>
      <c r="I23" s="110">
        <f t="shared" si="1"/>
        <v>-918</v>
      </c>
    </row>
    <row r="24" spans="1:9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f>'2 квартал 2020г.'!G24</f>
        <v>850.8</v>
      </c>
      <c r="G24" s="18">
        <f t="shared" si="0"/>
        <v>850.8</v>
      </c>
      <c r="I24" s="110">
        <f t="shared" si="1"/>
        <v>-1149.2</v>
      </c>
    </row>
    <row r="25" spans="1:9" ht="18">
      <c r="A25" s="17">
        <v>7</v>
      </c>
      <c r="B25" s="17" t="s">
        <v>47</v>
      </c>
      <c r="C25" s="17" t="s">
        <v>33</v>
      </c>
      <c r="D25" s="18">
        <v>2</v>
      </c>
      <c r="E25" s="18">
        <f>1250*2</f>
        <v>2500</v>
      </c>
      <c r="F25" s="18">
        <f>'2 квартал 2020г.'!G25</f>
        <v>1657</v>
      </c>
      <c r="G25" s="18">
        <f t="shared" si="0"/>
        <v>1657</v>
      </c>
      <c r="I25" s="110">
        <f t="shared" si="1"/>
        <v>-843</v>
      </c>
    </row>
    <row r="26" spans="1:9" ht="18">
      <c r="A26" s="17">
        <v>8</v>
      </c>
      <c r="B26" s="17" t="s">
        <v>48</v>
      </c>
      <c r="C26" s="17" t="s">
        <v>33</v>
      </c>
      <c r="D26" s="18">
        <v>2</v>
      </c>
      <c r="E26" s="18">
        <f>1000*2</f>
        <v>2000</v>
      </c>
      <c r="F26" s="18">
        <f>'2 квартал 2020г.'!G26</f>
        <v>1184</v>
      </c>
      <c r="G26" s="18">
        <f t="shared" si="0"/>
        <v>1184</v>
      </c>
      <c r="I26" s="110">
        <f t="shared" si="1"/>
        <v>-816</v>
      </c>
    </row>
    <row r="27" spans="1:9" ht="18">
      <c r="A27" s="17">
        <v>9</v>
      </c>
      <c r="B27" s="17" t="s">
        <v>49</v>
      </c>
      <c r="C27" s="17" t="s">
        <v>33</v>
      </c>
      <c r="D27" s="18">
        <v>2</v>
      </c>
      <c r="E27" s="18">
        <f>1000*2</f>
        <v>2000</v>
      </c>
      <c r="F27" s="18">
        <f>'2 квартал 2020г.'!G27</f>
        <v>1092</v>
      </c>
      <c r="G27" s="18">
        <f t="shared" si="0"/>
        <v>1092</v>
      </c>
      <c r="I27" s="110">
        <f t="shared" si="1"/>
        <v>-908</v>
      </c>
    </row>
    <row r="28" spans="1:9" ht="18">
      <c r="A28" s="17">
        <v>10</v>
      </c>
      <c r="B28" s="116" t="s">
        <v>61</v>
      </c>
      <c r="C28" s="17" t="s">
        <v>33</v>
      </c>
      <c r="D28" s="18">
        <v>2</v>
      </c>
      <c r="E28" s="18">
        <f>1000*2</f>
        <v>2000</v>
      </c>
      <c r="F28" s="18">
        <f>'2 квартал 2020г.'!G28</f>
        <v>1025.5</v>
      </c>
      <c r="G28" s="111">
        <f>F28-565.47</f>
        <v>460.03</v>
      </c>
      <c r="I28" s="110">
        <f t="shared" si="1"/>
        <v>-1539.97</v>
      </c>
    </row>
    <row r="29" spans="1:9" ht="18">
      <c r="A29" s="17">
        <v>11</v>
      </c>
      <c r="B29" s="116" t="s">
        <v>62</v>
      </c>
      <c r="C29" s="17" t="s">
        <v>33</v>
      </c>
      <c r="D29" s="18">
        <v>2</v>
      </c>
      <c r="E29" s="18">
        <f>1000*2</f>
        <v>2000</v>
      </c>
      <c r="F29" s="18">
        <f>'2 квартал 2020г.'!G29</f>
        <v>2000</v>
      </c>
      <c r="G29" s="18">
        <f>F29-195.5</f>
        <v>1804.5</v>
      </c>
      <c r="I29" s="110">
        <f t="shared" si="1"/>
        <v>-195.5</v>
      </c>
    </row>
    <row r="30" spans="1:9" ht="18">
      <c r="A30" s="17">
        <v>12</v>
      </c>
      <c r="B30" s="17" t="s">
        <v>63</v>
      </c>
      <c r="C30" s="17" t="s">
        <v>33</v>
      </c>
      <c r="D30" s="18">
        <v>2</v>
      </c>
      <c r="E30" s="18">
        <f>1000*2</f>
        <v>2000</v>
      </c>
      <c r="F30" s="18">
        <f>'2 квартал 2020г.'!G30</f>
        <v>1793.5</v>
      </c>
      <c r="G30" s="18">
        <f t="shared" si="0"/>
        <v>1793.5</v>
      </c>
      <c r="I30" s="110">
        <f t="shared" si="1"/>
        <v>-206.5</v>
      </c>
    </row>
    <row r="31" spans="1:9" ht="18">
      <c r="A31" s="19" t="s">
        <v>34</v>
      </c>
      <c r="B31" s="19"/>
      <c r="C31" s="19"/>
      <c r="D31" s="19"/>
      <c r="E31" s="16">
        <f>SUM(E19:E30)</f>
        <v>24500</v>
      </c>
      <c r="F31" s="16">
        <f>SUM(F19:F30)</f>
        <v>15423.3</v>
      </c>
      <c r="G31" s="95">
        <f>SUM(G19:G30)</f>
        <v>14662.33</v>
      </c>
      <c r="I31" s="109">
        <f>SUM(I19:I30)</f>
        <v>-9837.67</v>
      </c>
    </row>
    <row r="32" spans="1:7" ht="18">
      <c r="A32" s="20"/>
      <c r="B32" s="20"/>
      <c r="C32" s="20"/>
      <c r="D32" s="20"/>
      <c r="E32" s="20"/>
      <c r="F32" s="20"/>
      <c r="G32" s="20"/>
    </row>
    <row r="33" spans="1:7" ht="18">
      <c r="A33" s="21"/>
      <c r="B33" s="20"/>
      <c r="C33" s="20"/>
      <c r="D33" s="20"/>
      <c r="E33" s="20"/>
      <c r="F33" s="20"/>
      <c r="G33" s="100">
        <f>E31-G31</f>
        <v>9837.67</v>
      </c>
    </row>
    <row r="34" spans="1:7" ht="18">
      <c r="A34" s="21"/>
      <c r="B34" s="20"/>
      <c r="C34" s="20"/>
      <c r="D34" s="20"/>
      <c r="E34" s="20"/>
      <c r="F34" s="20"/>
      <c r="G34" s="20"/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0"/>
      <c r="B36" s="20"/>
      <c r="C36" s="20"/>
      <c r="D36" s="20"/>
      <c r="E36" s="20"/>
      <c r="F36" s="20"/>
      <c r="G36" s="100"/>
    </row>
    <row r="37" spans="1:7" ht="18">
      <c r="A37" s="20"/>
      <c r="B37" s="20"/>
      <c r="C37" s="20"/>
      <c r="D37" s="20"/>
      <c r="E37" s="20"/>
      <c r="F37" s="20"/>
      <c r="G37" s="20"/>
    </row>
    <row r="38" spans="1:7" ht="18">
      <c r="A38" s="20"/>
      <c r="B38" s="20"/>
      <c r="C38" s="20"/>
      <c r="D38" s="20"/>
      <c r="E38" s="20"/>
      <c r="F38" s="20"/>
      <c r="G38" s="20"/>
    </row>
    <row r="39" spans="1:7" ht="18">
      <c r="A39" s="20"/>
      <c r="B39" s="20"/>
      <c r="C39" s="20"/>
      <c r="D39" s="20"/>
      <c r="E39" s="20"/>
      <c r="F39" s="20"/>
      <c r="G39" s="20"/>
    </row>
  </sheetData>
  <sheetProtection/>
  <mergeCells count="13">
    <mergeCell ref="A2:G2"/>
    <mergeCell ref="A3:G3"/>
    <mergeCell ref="A4:G4"/>
    <mergeCell ref="A5:G5"/>
    <mergeCell ref="E7:G7"/>
    <mergeCell ref="E8:G8"/>
    <mergeCell ref="F14:F17"/>
    <mergeCell ref="E9:G9"/>
    <mergeCell ref="A10:G10"/>
    <mergeCell ref="A11:G11"/>
    <mergeCell ref="B12:E12"/>
    <mergeCell ref="F12:G12"/>
    <mergeCell ref="F13:G1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">
      <selection activeCell="E16" sqref="E16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8" width="9.140625" style="1" customWidth="1"/>
    <col min="9" max="9" width="10.57421875" style="1" bestFit="1" customWidth="1"/>
    <col min="10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64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71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113"/>
      <c r="C13" s="115"/>
      <c r="D13" s="115"/>
      <c r="E13" s="114"/>
      <c r="F13" s="163" t="s">
        <v>68</v>
      </c>
      <c r="G13" s="164"/>
    </row>
    <row r="14" spans="1:7" ht="18">
      <c r="A14" s="8"/>
      <c r="B14" s="112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114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9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f>'3 квартал 2020г'!G19</f>
        <v>1235.5</v>
      </c>
      <c r="G19" s="18">
        <f>F19</f>
        <v>1235.5</v>
      </c>
      <c r="I19" s="110">
        <f>G19-E19</f>
        <v>-764.5</v>
      </c>
    </row>
    <row r="20" spans="1:9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f>'3 квартал 2020г'!G20</f>
        <v>1121</v>
      </c>
      <c r="G20" s="18">
        <f aca="true" t="shared" si="0" ref="G20:G31">F20</f>
        <v>1121</v>
      </c>
      <c r="I20" s="110">
        <f aca="true" t="shared" si="1" ref="I20:I30">G20-E20</f>
        <v>-879</v>
      </c>
    </row>
    <row r="21" spans="1:9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f>'3 квартал 2020г'!G21</f>
        <v>1188</v>
      </c>
      <c r="G21" s="18">
        <f t="shared" si="0"/>
        <v>1188</v>
      </c>
      <c r="I21" s="110">
        <f t="shared" si="1"/>
        <v>-812</v>
      </c>
    </row>
    <row r="22" spans="1:9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f>'3 квартал 2020г'!G22</f>
        <v>1194</v>
      </c>
      <c r="G22" s="18">
        <f t="shared" si="0"/>
        <v>1194</v>
      </c>
      <c r="I22" s="110">
        <f t="shared" si="1"/>
        <v>-806</v>
      </c>
    </row>
    <row r="23" spans="1:9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f>'3 квартал 2020г'!G23</f>
        <v>1082</v>
      </c>
      <c r="G23" s="18">
        <f>F23-15</f>
        <v>1067</v>
      </c>
      <c r="I23" s="110">
        <f t="shared" si="1"/>
        <v>-933</v>
      </c>
    </row>
    <row r="24" spans="1:9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f>'3 квартал 2020г'!G24</f>
        <v>850.8</v>
      </c>
      <c r="G24" s="18">
        <f t="shared" si="0"/>
        <v>850.8</v>
      </c>
      <c r="I24" s="110">
        <f t="shared" si="1"/>
        <v>-1149.2</v>
      </c>
    </row>
    <row r="25" spans="1:9" ht="18">
      <c r="A25" s="17">
        <v>7</v>
      </c>
      <c r="B25" s="17" t="s">
        <v>47</v>
      </c>
      <c r="C25" s="17" t="s">
        <v>33</v>
      </c>
      <c r="D25" s="18">
        <v>2</v>
      </c>
      <c r="E25" s="18">
        <f>1250*2</f>
        <v>2500</v>
      </c>
      <c r="F25" s="18">
        <f>'3 квартал 2020г'!G25</f>
        <v>1657</v>
      </c>
      <c r="G25" s="18">
        <f t="shared" si="0"/>
        <v>1657</v>
      </c>
      <c r="I25" s="110">
        <f t="shared" si="1"/>
        <v>-843</v>
      </c>
    </row>
    <row r="26" spans="1:9" ht="18">
      <c r="A26" s="17">
        <v>8</v>
      </c>
      <c r="B26" s="17" t="s">
        <v>48</v>
      </c>
      <c r="C26" s="17" t="s">
        <v>33</v>
      </c>
      <c r="D26" s="18">
        <v>2</v>
      </c>
      <c r="E26" s="18">
        <f>1000*2</f>
        <v>2000</v>
      </c>
      <c r="F26" s="18">
        <f>'3 квартал 2020г'!G26</f>
        <v>1184</v>
      </c>
      <c r="G26" s="18">
        <f>F26-30</f>
        <v>1154</v>
      </c>
      <c r="I26" s="110">
        <f t="shared" si="1"/>
        <v>-846</v>
      </c>
    </row>
    <row r="27" spans="1:9" ht="18">
      <c r="A27" s="17">
        <v>9</v>
      </c>
      <c r="B27" s="17" t="s">
        <v>49</v>
      </c>
      <c r="C27" s="17" t="s">
        <v>33</v>
      </c>
      <c r="D27" s="18">
        <v>2</v>
      </c>
      <c r="E27" s="18">
        <f>1000*2</f>
        <v>2000</v>
      </c>
      <c r="F27" s="18">
        <f>'3 квартал 2020г'!G27</f>
        <v>1092</v>
      </c>
      <c r="G27" s="18">
        <f t="shared" si="0"/>
        <v>1092</v>
      </c>
      <c r="I27" s="110">
        <f t="shared" si="1"/>
        <v>-908</v>
      </c>
    </row>
    <row r="28" spans="1:9" ht="18">
      <c r="A28" s="17">
        <v>10</v>
      </c>
      <c r="B28" s="116" t="s">
        <v>61</v>
      </c>
      <c r="C28" s="17" t="s">
        <v>33</v>
      </c>
      <c r="D28" s="18">
        <v>2</v>
      </c>
      <c r="E28" s="18">
        <f>1000*2</f>
        <v>2000</v>
      </c>
      <c r="F28" s="18">
        <f>'3 квартал 2020г'!G28</f>
        <v>460.03</v>
      </c>
      <c r="G28" s="18">
        <f>F28-20</f>
        <v>440.03</v>
      </c>
      <c r="I28" s="110">
        <f t="shared" si="1"/>
        <v>-1559.97</v>
      </c>
    </row>
    <row r="29" spans="1:9" ht="18">
      <c r="A29" s="17">
        <v>11</v>
      </c>
      <c r="B29" s="116" t="s">
        <v>62</v>
      </c>
      <c r="C29" s="17" t="s">
        <v>33</v>
      </c>
      <c r="D29" s="18">
        <v>2</v>
      </c>
      <c r="E29" s="18">
        <f>1000*2</f>
        <v>2000</v>
      </c>
      <c r="F29" s="18">
        <f>'3 квартал 2020г'!G29</f>
        <v>1804.5</v>
      </c>
      <c r="G29" s="18">
        <f>F29-529</f>
        <v>1275.5</v>
      </c>
      <c r="I29" s="110">
        <f t="shared" si="1"/>
        <v>-724.5</v>
      </c>
    </row>
    <row r="30" spans="1:9" ht="18">
      <c r="A30" s="17">
        <v>12</v>
      </c>
      <c r="B30" s="17" t="s">
        <v>63</v>
      </c>
      <c r="C30" s="17" t="s">
        <v>33</v>
      </c>
      <c r="D30" s="18">
        <v>2</v>
      </c>
      <c r="E30" s="18">
        <f>1000*2</f>
        <v>2000</v>
      </c>
      <c r="F30" s="18">
        <f>'3 квартал 2020г'!G30</f>
        <v>1793.5</v>
      </c>
      <c r="G30" s="18">
        <f t="shared" si="0"/>
        <v>1793.5</v>
      </c>
      <c r="I30" s="110">
        <f t="shared" si="1"/>
        <v>-206.5</v>
      </c>
    </row>
    <row r="31" spans="1:9" ht="18">
      <c r="A31" s="19" t="s">
        <v>34</v>
      </c>
      <c r="B31" s="19"/>
      <c r="C31" s="19"/>
      <c r="D31" s="19"/>
      <c r="E31" s="16">
        <f>SUM(E19:E30)</f>
        <v>24500</v>
      </c>
      <c r="F31" s="16">
        <f>'3 квартал 2020г'!G31</f>
        <v>14662.33</v>
      </c>
      <c r="G31" s="16">
        <f t="shared" si="0"/>
        <v>14662.33</v>
      </c>
      <c r="I31" s="109">
        <f>SUM(I19:I30)</f>
        <v>-10431.67</v>
      </c>
    </row>
    <row r="32" spans="1:7" ht="18">
      <c r="A32" s="20"/>
      <c r="B32" s="20"/>
      <c r="C32" s="20"/>
      <c r="D32" s="20"/>
      <c r="E32" s="20"/>
      <c r="F32" s="20"/>
      <c r="G32" s="20"/>
    </row>
    <row r="33" spans="1:7" ht="18">
      <c r="A33" s="21"/>
      <c r="B33" s="20"/>
      <c r="C33" s="20"/>
      <c r="D33" s="20"/>
      <c r="E33" s="20"/>
      <c r="F33" s="20"/>
      <c r="G33" s="100">
        <f>E31-G31</f>
        <v>9837.67</v>
      </c>
    </row>
    <row r="34" spans="1:7" ht="18">
      <c r="A34" s="21"/>
      <c r="B34" s="20"/>
      <c r="C34" s="20"/>
      <c r="D34" s="20"/>
      <c r="E34" s="20"/>
      <c r="F34" s="20"/>
      <c r="G34" s="20"/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0"/>
      <c r="B36" s="20"/>
      <c r="C36" s="20"/>
      <c r="D36" s="20"/>
      <c r="E36" s="20"/>
      <c r="F36" s="20"/>
      <c r="G36" s="100"/>
    </row>
    <row r="37" spans="1:7" ht="18">
      <c r="A37" s="20"/>
      <c r="B37" s="20"/>
      <c r="C37" s="20"/>
      <c r="D37" s="20"/>
      <c r="E37" s="20"/>
      <c r="F37" s="20"/>
      <c r="G37" s="20"/>
    </row>
    <row r="38" spans="1:7" ht="18">
      <c r="A38" s="20"/>
      <c r="B38" s="20"/>
      <c r="C38" s="20"/>
      <c r="D38" s="20"/>
      <c r="E38" s="20"/>
      <c r="F38" s="20"/>
      <c r="G38" s="20"/>
    </row>
    <row r="39" spans="1:7" ht="18">
      <c r="A39" s="20"/>
      <c r="B39" s="20"/>
      <c r="C39" s="20"/>
      <c r="D39" s="20"/>
      <c r="E39" s="20"/>
      <c r="F39" s="20"/>
      <c r="G39" s="20"/>
    </row>
  </sheetData>
  <sheetProtection/>
  <mergeCells count="13">
    <mergeCell ref="F14:F17"/>
    <mergeCell ref="E9:G9"/>
    <mergeCell ref="A10:G10"/>
    <mergeCell ref="A11:G11"/>
    <mergeCell ref="B12:E12"/>
    <mergeCell ref="F12:G12"/>
    <mergeCell ref="F13:G13"/>
    <mergeCell ref="A2:G2"/>
    <mergeCell ref="A3:G3"/>
    <mergeCell ref="A4:G4"/>
    <mergeCell ref="A5:G5"/>
    <mergeCell ref="E7:G7"/>
    <mergeCell ref="E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2">
      <selection activeCell="H10" sqref="H10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8" width="9.140625" style="1" customWidth="1"/>
    <col min="9" max="9" width="10.57421875" style="1" bestFit="1" customWidth="1"/>
    <col min="10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64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70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118"/>
      <c r="C13" s="120"/>
      <c r="D13" s="120"/>
      <c r="E13" s="119"/>
      <c r="F13" s="163" t="s">
        <v>68</v>
      </c>
      <c r="G13" s="164"/>
    </row>
    <row r="14" spans="1:7" ht="18">
      <c r="A14" s="8"/>
      <c r="B14" s="117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119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9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f>'4 квартал 2020г. '!G19</f>
        <v>1235.5</v>
      </c>
      <c r="G19" s="18">
        <f>F19</f>
        <v>1235.5</v>
      </c>
      <c r="I19" s="110">
        <f>G19-E19</f>
        <v>-764.5</v>
      </c>
    </row>
    <row r="20" spans="1:9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f>'4 квартал 2020г. '!G20</f>
        <v>1121</v>
      </c>
      <c r="G20" s="18">
        <f aca="true" t="shared" si="0" ref="G20:G30">F20</f>
        <v>1121</v>
      </c>
      <c r="I20" s="110">
        <f aca="true" t="shared" si="1" ref="I20:I30">G20-E20</f>
        <v>-879</v>
      </c>
    </row>
    <row r="21" spans="1:9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f>'4 квартал 2020г. '!G21</f>
        <v>1188</v>
      </c>
      <c r="G21" s="18">
        <f t="shared" si="0"/>
        <v>1188</v>
      </c>
      <c r="I21" s="110">
        <f t="shared" si="1"/>
        <v>-812</v>
      </c>
    </row>
    <row r="22" spans="1:9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f>'4 квартал 2020г. '!G22</f>
        <v>1194</v>
      </c>
      <c r="G22" s="18">
        <f t="shared" si="0"/>
        <v>1194</v>
      </c>
      <c r="I22" s="110">
        <f t="shared" si="1"/>
        <v>-806</v>
      </c>
    </row>
    <row r="23" spans="1:9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f>'4 квартал 2020г. '!G23</f>
        <v>1067</v>
      </c>
      <c r="G23" s="18">
        <f t="shared" si="0"/>
        <v>1067</v>
      </c>
      <c r="I23" s="110">
        <f t="shared" si="1"/>
        <v>-933</v>
      </c>
    </row>
    <row r="24" spans="1:9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f>'4 квартал 2020г. '!G24</f>
        <v>850.8</v>
      </c>
      <c r="G24" s="18">
        <f t="shared" si="0"/>
        <v>850.8</v>
      </c>
      <c r="I24" s="110">
        <f t="shared" si="1"/>
        <v>-1149.2</v>
      </c>
    </row>
    <row r="25" spans="1:9" ht="18">
      <c r="A25" s="17">
        <v>7</v>
      </c>
      <c r="B25" s="17" t="s">
        <v>47</v>
      </c>
      <c r="C25" s="17" t="s">
        <v>33</v>
      </c>
      <c r="D25" s="18">
        <v>2</v>
      </c>
      <c r="E25" s="18">
        <f>1250*2</f>
        <v>2500</v>
      </c>
      <c r="F25" s="18">
        <f>'4 квартал 2020г. '!G25</f>
        <v>1657</v>
      </c>
      <c r="G25" s="18">
        <f t="shared" si="0"/>
        <v>1657</v>
      </c>
      <c r="I25" s="110">
        <f t="shared" si="1"/>
        <v>-843</v>
      </c>
    </row>
    <row r="26" spans="1:9" ht="18">
      <c r="A26" s="17">
        <v>8</v>
      </c>
      <c r="B26" s="17" t="s">
        <v>48</v>
      </c>
      <c r="C26" s="17" t="s">
        <v>33</v>
      </c>
      <c r="D26" s="18">
        <v>2</v>
      </c>
      <c r="E26" s="18">
        <f>1000*2</f>
        <v>2000</v>
      </c>
      <c r="F26" s="18">
        <f>'4 квартал 2020г. '!G26</f>
        <v>1154</v>
      </c>
      <c r="G26" s="18">
        <f t="shared" si="0"/>
        <v>1154</v>
      </c>
      <c r="I26" s="110">
        <f t="shared" si="1"/>
        <v>-846</v>
      </c>
    </row>
    <row r="27" spans="1:9" ht="18">
      <c r="A27" s="17">
        <v>9</v>
      </c>
      <c r="B27" s="17" t="s">
        <v>49</v>
      </c>
      <c r="C27" s="17" t="s">
        <v>33</v>
      </c>
      <c r="D27" s="18">
        <v>2</v>
      </c>
      <c r="E27" s="18">
        <f>1000*2</f>
        <v>2000</v>
      </c>
      <c r="F27" s="18">
        <f>'4 квартал 2020г. '!G27</f>
        <v>1092</v>
      </c>
      <c r="G27" s="18">
        <f>F27-41</f>
        <v>1051</v>
      </c>
      <c r="I27" s="110">
        <f t="shared" si="1"/>
        <v>-949</v>
      </c>
    </row>
    <row r="28" spans="1:9" ht="18">
      <c r="A28" s="17">
        <v>10</v>
      </c>
      <c r="B28" s="116" t="s">
        <v>61</v>
      </c>
      <c r="C28" s="17" t="s">
        <v>33</v>
      </c>
      <c r="D28" s="18">
        <v>2</v>
      </c>
      <c r="E28" s="18">
        <f>1000*2</f>
        <v>2000</v>
      </c>
      <c r="F28" s="18">
        <f>'4 квартал 2020г. '!G28</f>
        <v>440.03</v>
      </c>
      <c r="G28" s="18">
        <f>F28-60-20</f>
        <v>360.03</v>
      </c>
      <c r="I28" s="110">
        <f t="shared" si="1"/>
        <v>-1639.97</v>
      </c>
    </row>
    <row r="29" spans="1:9" ht="18">
      <c r="A29" s="17">
        <v>11</v>
      </c>
      <c r="B29" s="116" t="s">
        <v>62</v>
      </c>
      <c r="C29" s="17" t="s">
        <v>33</v>
      </c>
      <c r="D29" s="18">
        <v>2</v>
      </c>
      <c r="E29" s="18">
        <f>1000*2</f>
        <v>2000</v>
      </c>
      <c r="F29" s="18">
        <f>'4 квартал 2020г. '!G29</f>
        <v>1275.5</v>
      </c>
      <c r="G29" s="18">
        <f t="shared" si="0"/>
        <v>1275.5</v>
      </c>
      <c r="I29" s="110">
        <f t="shared" si="1"/>
        <v>-724.5</v>
      </c>
    </row>
    <row r="30" spans="1:9" ht="18">
      <c r="A30" s="17">
        <v>12</v>
      </c>
      <c r="B30" s="17" t="s">
        <v>63</v>
      </c>
      <c r="C30" s="17" t="s">
        <v>33</v>
      </c>
      <c r="D30" s="18">
        <v>2</v>
      </c>
      <c r="E30" s="18">
        <f>1000*2</f>
        <v>2000</v>
      </c>
      <c r="F30" s="18">
        <f>'4 квартал 2020г. '!G30</f>
        <v>1793.5</v>
      </c>
      <c r="G30" s="18">
        <f t="shared" si="0"/>
        <v>1793.5</v>
      </c>
      <c r="I30" s="110">
        <f t="shared" si="1"/>
        <v>-206.5</v>
      </c>
    </row>
    <row r="31" spans="1:9" ht="18">
      <c r="A31" s="19" t="s">
        <v>34</v>
      </c>
      <c r="B31" s="19"/>
      <c r="C31" s="19"/>
      <c r="D31" s="19"/>
      <c r="E31" s="16">
        <f>SUM(E19:E30)</f>
        <v>24500</v>
      </c>
      <c r="F31" s="16">
        <f>'3 квартал 2020г'!G31</f>
        <v>14662.33</v>
      </c>
      <c r="G31" s="16">
        <f>F31</f>
        <v>14662.33</v>
      </c>
      <c r="I31" s="109">
        <f>SUM(I19:I30)</f>
        <v>-10552.67</v>
      </c>
    </row>
    <row r="32" spans="1:7" ht="18">
      <c r="A32" s="20"/>
      <c r="B32" s="20"/>
      <c r="C32" s="20"/>
      <c r="D32" s="20"/>
      <c r="E32" s="20"/>
      <c r="F32" s="20"/>
      <c r="G32" s="20"/>
    </row>
    <row r="33" spans="1:7" ht="18">
      <c r="A33" s="21"/>
      <c r="B33" s="20"/>
      <c r="C33" s="20"/>
      <c r="D33" s="20"/>
      <c r="E33" s="20"/>
      <c r="F33" s="20"/>
      <c r="G33" s="100">
        <f>E31-G31</f>
        <v>9837.67</v>
      </c>
    </row>
    <row r="34" spans="1:7" ht="18">
      <c r="A34" s="21"/>
      <c r="B34" s="20"/>
      <c r="C34" s="20"/>
      <c r="D34" s="20"/>
      <c r="E34" s="20"/>
      <c r="F34" s="20"/>
      <c r="G34" s="20"/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0"/>
      <c r="B36" s="20"/>
      <c r="C36" s="20"/>
      <c r="D36" s="20"/>
      <c r="E36" s="20"/>
      <c r="F36" s="20"/>
      <c r="G36" s="100"/>
    </row>
    <row r="37" spans="1:7" ht="18">
      <c r="A37" s="20"/>
      <c r="B37" s="20"/>
      <c r="C37" s="20"/>
      <c r="D37" s="20"/>
      <c r="E37" s="20"/>
      <c r="F37" s="20"/>
      <c r="G37" s="20"/>
    </row>
    <row r="38" spans="1:7" ht="18">
      <c r="A38" s="20"/>
      <c r="B38" s="20"/>
      <c r="C38" s="20"/>
      <c r="D38" s="20"/>
      <c r="E38" s="20"/>
      <c r="F38" s="20"/>
      <c r="G38" s="20"/>
    </row>
    <row r="39" spans="1:7" ht="18">
      <c r="A39" s="20"/>
      <c r="B39" s="20"/>
      <c r="C39" s="20"/>
      <c r="D39" s="20"/>
      <c r="E39" s="20"/>
      <c r="F39" s="20"/>
      <c r="G39" s="20"/>
    </row>
  </sheetData>
  <sheetProtection/>
  <mergeCells count="13">
    <mergeCell ref="A2:G2"/>
    <mergeCell ref="A3:G3"/>
    <mergeCell ref="A4:G4"/>
    <mergeCell ref="A5:G5"/>
    <mergeCell ref="E7:G7"/>
    <mergeCell ref="E8:G8"/>
    <mergeCell ref="F14:F17"/>
    <mergeCell ref="E9:G9"/>
    <mergeCell ref="A10:G10"/>
    <mergeCell ref="A11:G11"/>
    <mergeCell ref="B12:E12"/>
    <mergeCell ref="F12:G12"/>
    <mergeCell ref="F13:G1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4">
      <selection activeCell="F13" sqref="F13:G13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8" width="9.140625" style="1" customWidth="1"/>
    <col min="9" max="9" width="10.57421875" style="1" bestFit="1" customWidth="1"/>
    <col min="10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64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69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122"/>
      <c r="C13" s="124"/>
      <c r="D13" s="124"/>
      <c r="E13" s="123"/>
      <c r="F13" s="163" t="s">
        <v>68</v>
      </c>
      <c r="G13" s="164"/>
    </row>
    <row r="14" spans="1:7" ht="18">
      <c r="A14" s="8"/>
      <c r="B14" s="121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123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9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f>'4 квартал 2020г. '!G19</f>
        <v>1235.5</v>
      </c>
      <c r="G19" s="18">
        <f>F19</f>
        <v>1235.5</v>
      </c>
      <c r="I19" s="110">
        <f>G19-E19</f>
        <v>-764.5</v>
      </c>
    </row>
    <row r="20" spans="1:9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f>'4 квартал 2020г. '!G20</f>
        <v>1121</v>
      </c>
      <c r="G20" s="18">
        <f aca="true" t="shared" si="0" ref="G20:G31">F20</f>
        <v>1121</v>
      </c>
      <c r="I20" s="110">
        <f aca="true" t="shared" si="1" ref="I20:I30">G20-E20</f>
        <v>-879</v>
      </c>
    </row>
    <row r="21" spans="1:9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f>'4 квартал 2020г. '!G21</f>
        <v>1188</v>
      </c>
      <c r="G21" s="18">
        <f t="shared" si="0"/>
        <v>1188</v>
      </c>
      <c r="I21" s="110">
        <f t="shared" si="1"/>
        <v>-812</v>
      </c>
    </row>
    <row r="22" spans="1:9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f>'4 квартал 2020г. '!G22</f>
        <v>1194</v>
      </c>
      <c r="G22" s="18">
        <f t="shared" si="0"/>
        <v>1194</v>
      </c>
      <c r="I22" s="110">
        <f t="shared" si="1"/>
        <v>-806</v>
      </c>
    </row>
    <row r="23" spans="1:9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f>'4 квартал 2020г. '!G23</f>
        <v>1067</v>
      </c>
      <c r="G23" s="18">
        <f t="shared" si="0"/>
        <v>1067</v>
      </c>
      <c r="I23" s="110">
        <f t="shared" si="1"/>
        <v>-933</v>
      </c>
    </row>
    <row r="24" spans="1:9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f>'4 квартал 2020г. '!G24</f>
        <v>850.8</v>
      </c>
      <c r="G24" s="18">
        <f t="shared" si="0"/>
        <v>850.8</v>
      </c>
      <c r="I24" s="110">
        <f t="shared" si="1"/>
        <v>-1149.2</v>
      </c>
    </row>
    <row r="25" spans="1:9" ht="18">
      <c r="A25" s="17">
        <v>7</v>
      </c>
      <c r="B25" s="17" t="s">
        <v>47</v>
      </c>
      <c r="C25" s="17" t="s">
        <v>33</v>
      </c>
      <c r="D25" s="18">
        <v>2</v>
      </c>
      <c r="E25" s="18">
        <f>1250*2</f>
        <v>2500</v>
      </c>
      <c r="F25" s="18">
        <f>'4 квартал 2020г. '!G25</f>
        <v>1657</v>
      </c>
      <c r="G25" s="18">
        <f t="shared" si="0"/>
        <v>1657</v>
      </c>
      <c r="I25" s="110">
        <f t="shared" si="1"/>
        <v>-843</v>
      </c>
    </row>
    <row r="26" spans="1:9" ht="18">
      <c r="A26" s="17">
        <v>8</v>
      </c>
      <c r="B26" s="17" t="s">
        <v>48</v>
      </c>
      <c r="C26" s="17" t="s">
        <v>33</v>
      </c>
      <c r="D26" s="18">
        <v>2</v>
      </c>
      <c r="E26" s="18">
        <f>1000*2</f>
        <v>2000</v>
      </c>
      <c r="F26" s="18">
        <f>'4 квартал 2020г. '!G26</f>
        <v>1154</v>
      </c>
      <c r="G26" s="18">
        <f t="shared" si="0"/>
        <v>1154</v>
      </c>
      <c r="I26" s="110">
        <f t="shared" si="1"/>
        <v>-846</v>
      </c>
    </row>
    <row r="27" spans="1:9" ht="18">
      <c r="A27" s="17">
        <v>9</v>
      </c>
      <c r="B27" s="17" t="s">
        <v>49</v>
      </c>
      <c r="C27" s="17" t="s">
        <v>33</v>
      </c>
      <c r="D27" s="18">
        <v>2</v>
      </c>
      <c r="E27" s="18">
        <f>1000*2</f>
        <v>2000</v>
      </c>
      <c r="F27" s="18">
        <f>'4 квартал 2020г. '!G27</f>
        <v>1092</v>
      </c>
      <c r="G27" s="18">
        <f>F27-41</f>
        <v>1051</v>
      </c>
      <c r="I27" s="110">
        <f t="shared" si="1"/>
        <v>-949</v>
      </c>
    </row>
    <row r="28" spans="1:9" ht="18">
      <c r="A28" s="17">
        <v>10</v>
      </c>
      <c r="B28" s="116" t="s">
        <v>61</v>
      </c>
      <c r="C28" s="17" t="s">
        <v>33</v>
      </c>
      <c r="D28" s="18">
        <v>2</v>
      </c>
      <c r="E28" s="18">
        <f>1000*2</f>
        <v>2000</v>
      </c>
      <c r="F28" s="18">
        <f>'4 квартал 2020г. '!G28</f>
        <v>440.03</v>
      </c>
      <c r="G28" s="18">
        <f>F28-60-20</f>
        <v>360.03</v>
      </c>
      <c r="I28" s="110">
        <f t="shared" si="1"/>
        <v>-1639.97</v>
      </c>
    </row>
    <row r="29" spans="1:9" ht="18">
      <c r="A29" s="17">
        <v>11</v>
      </c>
      <c r="B29" s="116" t="s">
        <v>62</v>
      </c>
      <c r="C29" s="17" t="s">
        <v>33</v>
      </c>
      <c r="D29" s="18">
        <v>2</v>
      </c>
      <c r="E29" s="18">
        <f>1000*2</f>
        <v>2000</v>
      </c>
      <c r="F29" s="18">
        <f>'4 квартал 2020г. '!G29</f>
        <v>1275.5</v>
      </c>
      <c r="G29" s="18">
        <f t="shared" si="0"/>
        <v>1275.5</v>
      </c>
      <c r="I29" s="110">
        <f t="shared" si="1"/>
        <v>-724.5</v>
      </c>
    </row>
    <row r="30" spans="1:9" ht="18">
      <c r="A30" s="17">
        <v>12</v>
      </c>
      <c r="B30" s="17" t="s">
        <v>63</v>
      </c>
      <c r="C30" s="17" t="s">
        <v>33</v>
      </c>
      <c r="D30" s="18">
        <v>2</v>
      </c>
      <c r="E30" s="18">
        <f>1000*2</f>
        <v>2000</v>
      </c>
      <c r="F30" s="18">
        <f>'4 квартал 2020г. '!G30</f>
        <v>1793.5</v>
      </c>
      <c r="G30" s="18">
        <f t="shared" si="0"/>
        <v>1793.5</v>
      </c>
      <c r="I30" s="110">
        <f t="shared" si="1"/>
        <v>-206.5</v>
      </c>
    </row>
    <row r="31" spans="1:9" ht="18">
      <c r="A31" s="19" t="s">
        <v>34</v>
      </c>
      <c r="B31" s="19"/>
      <c r="C31" s="19"/>
      <c r="D31" s="19"/>
      <c r="E31" s="16">
        <f>SUM(E19:E30)</f>
        <v>24500</v>
      </c>
      <c r="F31" s="16">
        <f>'3 квартал 2020г'!G31</f>
        <v>14662.33</v>
      </c>
      <c r="G31" s="16">
        <f t="shared" si="0"/>
        <v>14662.33</v>
      </c>
      <c r="I31" s="109">
        <f>SUM(I19:I30)</f>
        <v>-10552.67</v>
      </c>
    </row>
    <row r="32" spans="1:7" ht="18">
      <c r="A32" s="20"/>
      <c r="B32" s="20"/>
      <c r="C32" s="20"/>
      <c r="D32" s="20"/>
      <c r="E32" s="20"/>
      <c r="F32" s="20"/>
      <c r="G32" s="20"/>
    </row>
    <row r="33" spans="1:7" ht="18">
      <c r="A33" s="21"/>
      <c r="B33" s="20"/>
      <c r="C33" s="20"/>
      <c r="D33" s="20"/>
      <c r="E33" s="20"/>
      <c r="F33" s="20"/>
      <c r="G33" s="100">
        <f>E31-G31</f>
        <v>9837.67</v>
      </c>
    </row>
    <row r="34" spans="1:7" ht="18">
      <c r="A34" s="21"/>
      <c r="B34" s="20"/>
      <c r="C34" s="20"/>
      <c r="D34" s="20"/>
      <c r="E34" s="20"/>
      <c r="F34" s="20"/>
      <c r="G34" s="20"/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0"/>
      <c r="B36" s="20"/>
      <c r="C36" s="20"/>
      <c r="D36" s="20"/>
      <c r="E36" s="20"/>
      <c r="F36" s="20"/>
      <c r="G36" s="100"/>
    </row>
    <row r="37" spans="1:7" ht="18">
      <c r="A37" s="20"/>
      <c r="B37" s="20"/>
      <c r="C37" s="20"/>
      <c r="D37" s="20"/>
      <c r="E37" s="20"/>
      <c r="F37" s="20"/>
      <c r="G37" s="20"/>
    </row>
    <row r="38" spans="1:7" ht="18">
      <c r="A38" s="20"/>
      <c r="B38" s="20"/>
      <c r="C38" s="20"/>
      <c r="D38" s="20"/>
      <c r="E38" s="20"/>
      <c r="F38" s="20"/>
      <c r="G38" s="20"/>
    </row>
    <row r="39" spans="1:7" ht="18">
      <c r="A39" s="20"/>
      <c r="B39" s="20"/>
      <c r="C39" s="20"/>
      <c r="D39" s="20"/>
      <c r="E39" s="20"/>
      <c r="F39" s="20"/>
      <c r="G39" s="20"/>
    </row>
  </sheetData>
  <sheetProtection/>
  <mergeCells count="13">
    <mergeCell ref="F14:F17"/>
    <mergeCell ref="E9:G9"/>
    <mergeCell ref="A10:G10"/>
    <mergeCell ref="A11:G11"/>
    <mergeCell ref="B12:E12"/>
    <mergeCell ref="F12:G12"/>
    <mergeCell ref="F13:G13"/>
    <mergeCell ref="A2:G2"/>
    <mergeCell ref="A3:G3"/>
    <mergeCell ref="A4:G4"/>
    <mergeCell ref="A5:G5"/>
    <mergeCell ref="E7:G7"/>
    <mergeCell ref="E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">
      <selection activeCell="A12" sqref="A12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8" width="9.140625" style="1" customWidth="1"/>
    <col min="9" max="9" width="10.57421875" style="1" bestFit="1" customWidth="1"/>
    <col min="10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64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72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126"/>
      <c r="C13" s="128"/>
      <c r="D13" s="128"/>
      <c r="E13" s="127"/>
      <c r="F13" s="163" t="s">
        <v>68</v>
      </c>
      <c r="G13" s="164"/>
    </row>
    <row r="14" spans="1:7" ht="18">
      <c r="A14" s="8"/>
      <c r="B14" s="125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127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9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f>'4 квартал 2020г. '!G19</f>
        <v>1235.5</v>
      </c>
      <c r="G19" s="18">
        <f>F19</f>
        <v>1235.5</v>
      </c>
      <c r="I19" s="110">
        <f>G19-E19</f>
        <v>-764.5</v>
      </c>
    </row>
    <row r="20" spans="1:9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f>'4 квартал 2020г. '!G20</f>
        <v>1121</v>
      </c>
      <c r="G20" s="18">
        <f aca="true" t="shared" si="0" ref="G20:G31">F20</f>
        <v>1121</v>
      </c>
      <c r="I20" s="110">
        <f aca="true" t="shared" si="1" ref="I20:I30">G20-E20</f>
        <v>-879</v>
      </c>
    </row>
    <row r="21" spans="1:9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f>'4 квартал 2020г. '!G21</f>
        <v>1188</v>
      </c>
      <c r="G21" s="18">
        <f t="shared" si="0"/>
        <v>1188</v>
      </c>
      <c r="I21" s="110">
        <f t="shared" si="1"/>
        <v>-812</v>
      </c>
    </row>
    <row r="22" spans="1:9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f>'4 квартал 2020г. '!G22</f>
        <v>1194</v>
      </c>
      <c r="G22" s="18">
        <f t="shared" si="0"/>
        <v>1194</v>
      </c>
      <c r="I22" s="110">
        <f t="shared" si="1"/>
        <v>-806</v>
      </c>
    </row>
    <row r="23" spans="1:9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f>'4 квартал 2020г. '!G23</f>
        <v>1067</v>
      </c>
      <c r="G23" s="18">
        <f t="shared" si="0"/>
        <v>1067</v>
      </c>
      <c r="I23" s="110">
        <f t="shared" si="1"/>
        <v>-933</v>
      </c>
    </row>
    <row r="24" spans="1:9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f>'4 квартал 2020г. '!G24</f>
        <v>850.8</v>
      </c>
      <c r="G24" s="18">
        <f t="shared" si="0"/>
        <v>850.8</v>
      </c>
      <c r="I24" s="110">
        <f t="shared" si="1"/>
        <v>-1149.2</v>
      </c>
    </row>
    <row r="25" spans="1:9" ht="18">
      <c r="A25" s="17">
        <v>7</v>
      </c>
      <c r="B25" s="17" t="s">
        <v>47</v>
      </c>
      <c r="C25" s="17" t="s">
        <v>33</v>
      </c>
      <c r="D25" s="18">
        <v>2</v>
      </c>
      <c r="E25" s="18">
        <f>1250*2</f>
        <v>2500</v>
      </c>
      <c r="F25" s="18">
        <f>'4 квартал 2020г. '!G25</f>
        <v>1657</v>
      </c>
      <c r="G25" s="18">
        <f t="shared" si="0"/>
        <v>1657</v>
      </c>
      <c r="I25" s="110">
        <f t="shared" si="1"/>
        <v>-843</v>
      </c>
    </row>
    <row r="26" spans="1:9" ht="18">
      <c r="A26" s="17">
        <v>8</v>
      </c>
      <c r="B26" s="17" t="s">
        <v>48</v>
      </c>
      <c r="C26" s="17" t="s">
        <v>33</v>
      </c>
      <c r="D26" s="18">
        <v>2</v>
      </c>
      <c r="E26" s="18">
        <f>1000*2</f>
        <v>2000</v>
      </c>
      <c r="F26" s="18">
        <f>'4 квартал 2020г. '!G26</f>
        <v>1154</v>
      </c>
      <c r="G26" s="18">
        <f t="shared" si="0"/>
        <v>1154</v>
      </c>
      <c r="I26" s="110">
        <f t="shared" si="1"/>
        <v>-846</v>
      </c>
    </row>
    <row r="27" spans="1:9" ht="18">
      <c r="A27" s="17">
        <v>9</v>
      </c>
      <c r="B27" s="17" t="s">
        <v>49</v>
      </c>
      <c r="C27" s="17" t="s">
        <v>33</v>
      </c>
      <c r="D27" s="18">
        <v>2</v>
      </c>
      <c r="E27" s="18">
        <f>1000*2</f>
        <v>2000</v>
      </c>
      <c r="F27" s="18">
        <f>'4 квартал 2020г. '!G27</f>
        <v>1092</v>
      </c>
      <c r="G27" s="18">
        <f>F27-41</f>
        <v>1051</v>
      </c>
      <c r="I27" s="110">
        <f t="shared" si="1"/>
        <v>-949</v>
      </c>
    </row>
    <row r="28" spans="1:9" ht="18">
      <c r="A28" s="17">
        <v>10</v>
      </c>
      <c r="B28" s="116" t="s">
        <v>61</v>
      </c>
      <c r="C28" s="17" t="s">
        <v>33</v>
      </c>
      <c r="D28" s="18">
        <v>2</v>
      </c>
      <c r="E28" s="18">
        <f>1000*2</f>
        <v>2000</v>
      </c>
      <c r="F28" s="18">
        <f>'4 квартал 2020г. '!G28</f>
        <v>440.03</v>
      </c>
      <c r="G28" s="18">
        <f>F28-60-20</f>
        <v>360.03</v>
      </c>
      <c r="I28" s="110">
        <f t="shared" si="1"/>
        <v>-1639.97</v>
      </c>
    </row>
    <row r="29" spans="1:9" ht="18">
      <c r="A29" s="17">
        <v>11</v>
      </c>
      <c r="B29" s="116" t="s">
        <v>62</v>
      </c>
      <c r="C29" s="17" t="s">
        <v>33</v>
      </c>
      <c r="D29" s="18">
        <v>2</v>
      </c>
      <c r="E29" s="18">
        <f>1000*2</f>
        <v>2000</v>
      </c>
      <c r="F29" s="18">
        <f>'4 квартал 2020г. '!G29</f>
        <v>1275.5</v>
      </c>
      <c r="G29" s="18">
        <f t="shared" si="0"/>
        <v>1275.5</v>
      </c>
      <c r="I29" s="110">
        <f t="shared" si="1"/>
        <v>-724.5</v>
      </c>
    </row>
    <row r="30" spans="1:9" ht="18">
      <c r="A30" s="17">
        <v>12</v>
      </c>
      <c r="B30" s="17" t="s">
        <v>63</v>
      </c>
      <c r="C30" s="17" t="s">
        <v>33</v>
      </c>
      <c r="D30" s="18">
        <v>2</v>
      </c>
      <c r="E30" s="18">
        <f>1000*2</f>
        <v>2000</v>
      </c>
      <c r="F30" s="18">
        <f>'4 квартал 2020г. '!G30</f>
        <v>1793.5</v>
      </c>
      <c r="G30" s="18">
        <f t="shared" si="0"/>
        <v>1793.5</v>
      </c>
      <c r="I30" s="110">
        <f t="shared" si="1"/>
        <v>-206.5</v>
      </c>
    </row>
    <row r="31" spans="1:9" ht="18">
      <c r="A31" s="19" t="s">
        <v>34</v>
      </c>
      <c r="B31" s="19"/>
      <c r="C31" s="19"/>
      <c r="D31" s="19"/>
      <c r="E31" s="16">
        <f>SUM(E19:E30)</f>
        <v>24500</v>
      </c>
      <c r="F31" s="16">
        <f>'3 квартал 2020г'!G31</f>
        <v>14662.33</v>
      </c>
      <c r="G31" s="16">
        <f t="shared" si="0"/>
        <v>14662.33</v>
      </c>
      <c r="I31" s="109">
        <f>SUM(I19:I30)</f>
        <v>-10552.67</v>
      </c>
    </row>
    <row r="32" spans="1:7" ht="18">
      <c r="A32" s="20"/>
      <c r="B32" s="20"/>
      <c r="C32" s="20"/>
      <c r="D32" s="20"/>
      <c r="E32" s="20"/>
      <c r="F32" s="20"/>
      <c r="G32" s="20"/>
    </row>
    <row r="33" spans="1:7" ht="18">
      <c r="A33" s="21"/>
      <c r="B33" s="20"/>
      <c r="C33" s="20"/>
      <c r="D33" s="20"/>
      <c r="E33" s="20"/>
      <c r="F33" s="20"/>
      <c r="G33" s="100">
        <f>E31-G31</f>
        <v>9837.67</v>
      </c>
    </row>
    <row r="34" spans="1:7" ht="18">
      <c r="A34" s="21"/>
      <c r="B34" s="20"/>
      <c r="C34" s="20"/>
      <c r="D34" s="20"/>
      <c r="E34" s="20"/>
      <c r="F34" s="20"/>
      <c r="G34" s="20"/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0"/>
      <c r="B36" s="20"/>
      <c r="C36" s="20"/>
      <c r="D36" s="20"/>
      <c r="E36" s="20"/>
      <c r="F36" s="20"/>
      <c r="G36" s="100"/>
    </row>
    <row r="37" spans="1:7" ht="18">
      <c r="A37" s="20"/>
      <c r="B37" s="20"/>
      <c r="C37" s="20"/>
      <c r="D37" s="20"/>
      <c r="E37" s="20"/>
      <c r="F37" s="20"/>
      <c r="G37" s="20"/>
    </row>
    <row r="38" spans="1:7" ht="18">
      <c r="A38" s="20"/>
      <c r="B38" s="20"/>
      <c r="C38" s="20"/>
      <c r="D38" s="20"/>
      <c r="E38" s="20"/>
      <c r="F38" s="20"/>
      <c r="G38" s="20"/>
    </row>
    <row r="39" spans="1:7" ht="18">
      <c r="A39" s="20"/>
      <c r="B39" s="20"/>
      <c r="C39" s="20"/>
      <c r="D39" s="20"/>
      <c r="E39" s="20"/>
      <c r="F39" s="20"/>
      <c r="G39" s="20"/>
    </row>
  </sheetData>
  <sheetProtection/>
  <mergeCells count="13">
    <mergeCell ref="A2:G2"/>
    <mergeCell ref="A3:G3"/>
    <mergeCell ref="A4:G4"/>
    <mergeCell ref="A5:G5"/>
    <mergeCell ref="E7:G7"/>
    <mergeCell ref="E8:G8"/>
    <mergeCell ref="F14:F17"/>
    <mergeCell ref="E9:G9"/>
    <mergeCell ref="A10:G10"/>
    <mergeCell ref="A11:G11"/>
    <mergeCell ref="B12:E12"/>
    <mergeCell ref="F12:G12"/>
    <mergeCell ref="F13:G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9">
      <selection activeCell="E30" sqref="E30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8" width="9.140625" style="1" customWidth="1"/>
    <col min="9" max="9" width="10.57421875" style="1" bestFit="1" customWidth="1"/>
    <col min="10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64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73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126"/>
      <c r="C13" s="128"/>
      <c r="D13" s="128"/>
      <c r="E13" s="127"/>
      <c r="F13" s="163" t="s">
        <v>68</v>
      </c>
      <c r="G13" s="164"/>
    </row>
    <row r="14" spans="1:7" ht="18">
      <c r="A14" s="8"/>
      <c r="B14" s="125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127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9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f>'4 квартал 2020г. '!G19</f>
        <v>1235.5</v>
      </c>
      <c r="G19" s="18">
        <f>F19</f>
        <v>1235.5</v>
      </c>
      <c r="I19" s="110">
        <f>G19-E19</f>
        <v>-764.5</v>
      </c>
    </row>
    <row r="20" spans="1:9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f>'4 квартал 2020г. '!G20</f>
        <v>1121</v>
      </c>
      <c r="G20" s="18">
        <f aca="true" t="shared" si="0" ref="G20:G31">F20</f>
        <v>1121</v>
      </c>
      <c r="I20" s="110">
        <f aca="true" t="shared" si="1" ref="I20:I30">G20-E20</f>
        <v>-879</v>
      </c>
    </row>
    <row r="21" spans="1:9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f>'4 квартал 2020г. '!G21</f>
        <v>1188</v>
      </c>
      <c r="G21" s="18">
        <f t="shared" si="0"/>
        <v>1188</v>
      </c>
      <c r="I21" s="110">
        <f t="shared" si="1"/>
        <v>-812</v>
      </c>
    </row>
    <row r="22" spans="1:9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f>'4 квартал 2020г. '!G22</f>
        <v>1194</v>
      </c>
      <c r="G22" s="18">
        <f t="shared" si="0"/>
        <v>1194</v>
      </c>
      <c r="I22" s="110">
        <f t="shared" si="1"/>
        <v>-806</v>
      </c>
    </row>
    <row r="23" spans="1:9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f>'4 квартал 2020г. '!G23</f>
        <v>1067</v>
      </c>
      <c r="G23" s="18">
        <f t="shared" si="0"/>
        <v>1067</v>
      </c>
      <c r="I23" s="110">
        <f t="shared" si="1"/>
        <v>-933</v>
      </c>
    </row>
    <row r="24" spans="1:9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f>'4 квартал 2020г. '!G24</f>
        <v>850.8</v>
      </c>
      <c r="G24" s="18">
        <f t="shared" si="0"/>
        <v>850.8</v>
      </c>
      <c r="I24" s="110">
        <f t="shared" si="1"/>
        <v>-1149.2</v>
      </c>
    </row>
    <row r="25" spans="1:9" ht="18">
      <c r="A25" s="17">
        <v>7</v>
      </c>
      <c r="B25" s="17" t="s">
        <v>47</v>
      </c>
      <c r="C25" s="17" t="s">
        <v>33</v>
      </c>
      <c r="D25" s="18">
        <v>2</v>
      </c>
      <c r="E25" s="18">
        <f>1250*2</f>
        <v>2500</v>
      </c>
      <c r="F25" s="18">
        <f>'4 квартал 2020г. '!G25</f>
        <v>1657</v>
      </c>
      <c r="G25" s="18">
        <f t="shared" si="0"/>
        <v>1657</v>
      </c>
      <c r="I25" s="110">
        <f t="shared" si="1"/>
        <v>-843</v>
      </c>
    </row>
    <row r="26" spans="1:9" ht="18">
      <c r="A26" s="17">
        <v>8</v>
      </c>
      <c r="B26" s="17" t="s">
        <v>48</v>
      </c>
      <c r="C26" s="17" t="s">
        <v>33</v>
      </c>
      <c r="D26" s="18">
        <v>2</v>
      </c>
      <c r="E26" s="18">
        <f>1000*2</f>
        <v>2000</v>
      </c>
      <c r="F26" s="18">
        <f>'4 квартал 2020г. '!G26</f>
        <v>1154</v>
      </c>
      <c r="G26" s="18">
        <f t="shared" si="0"/>
        <v>1154</v>
      </c>
      <c r="I26" s="110">
        <f t="shared" si="1"/>
        <v>-846</v>
      </c>
    </row>
    <row r="27" spans="1:9" ht="18">
      <c r="A27" s="17">
        <v>9</v>
      </c>
      <c r="B27" s="17" t="s">
        <v>49</v>
      </c>
      <c r="C27" s="17" t="s">
        <v>33</v>
      </c>
      <c r="D27" s="18">
        <v>2</v>
      </c>
      <c r="E27" s="18">
        <f>1000*2</f>
        <v>2000</v>
      </c>
      <c r="F27" s="18">
        <f>'4 квартал 2020г. '!G27</f>
        <v>1092</v>
      </c>
      <c r="G27" s="18">
        <f>F27-41</f>
        <v>1051</v>
      </c>
      <c r="I27" s="110">
        <f t="shared" si="1"/>
        <v>-949</v>
      </c>
    </row>
    <row r="28" spans="1:9" ht="18">
      <c r="A28" s="17">
        <v>10</v>
      </c>
      <c r="B28" s="116" t="s">
        <v>61</v>
      </c>
      <c r="C28" s="17" t="s">
        <v>33</v>
      </c>
      <c r="D28" s="18">
        <v>2</v>
      </c>
      <c r="E28" s="18">
        <f>1000*2</f>
        <v>2000</v>
      </c>
      <c r="F28" s="18">
        <f>'4 квартал 2020г. '!G28</f>
        <v>440.03</v>
      </c>
      <c r="G28" s="18">
        <f>F28-60-20</f>
        <v>360.03</v>
      </c>
      <c r="I28" s="110">
        <f t="shared" si="1"/>
        <v>-1639.97</v>
      </c>
    </row>
    <row r="29" spans="1:9" ht="18">
      <c r="A29" s="17">
        <v>11</v>
      </c>
      <c r="B29" s="116" t="s">
        <v>62</v>
      </c>
      <c r="C29" s="17" t="s">
        <v>33</v>
      </c>
      <c r="D29" s="18">
        <v>2</v>
      </c>
      <c r="E29" s="18">
        <f>1000*2</f>
        <v>2000</v>
      </c>
      <c r="F29" s="18">
        <f>'4 квартал 2020г. '!G29</f>
        <v>1275.5</v>
      </c>
      <c r="G29" s="18">
        <f t="shared" si="0"/>
        <v>1275.5</v>
      </c>
      <c r="I29" s="110">
        <f t="shared" si="1"/>
        <v>-724.5</v>
      </c>
    </row>
    <row r="30" spans="1:9" ht="18">
      <c r="A30" s="17">
        <v>12</v>
      </c>
      <c r="B30" s="17" t="s">
        <v>63</v>
      </c>
      <c r="C30" s="17" t="s">
        <v>33</v>
      </c>
      <c r="D30" s="18">
        <v>2</v>
      </c>
      <c r="E30" s="18">
        <f>1000*2</f>
        <v>2000</v>
      </c>
      <c r="F30" s="18">
        <f>'4 квартал 2020г. '!G30</f>
        <v>1793.5</v>
      </c>
      <c r="G30" s="18">
        <f t="shared" si="0"/>
        <v>1793.5</v>
      </c>
      <c r="I30" s="110">
        <f t="shared" si="1"/>
        <v>-206.5</v>
      </c>
    </row>
    <row r="31" spans="1:9" ht="18">
      <c r="A31" s="19" t="s">
        <v>34</v>
      </c>
      <c r="B31" s="19"/>
      <c r="C31" s="19"/>
      <c r="D31" s="19"/>
      <c r="E31" s="16">
        <f>SUM(E19:E30)</f>
        <v>24500</v>
      </c>
      <c r="F31" s="16">
        <f>'3 квартал 2020г'!G31</f>
        <v>14662.33</v>
      </c>
      <c r="G31" s="16">
        <f t="shared" si="0"/>
        <v>14662.33</v>
      </c>
      <c r="I31" s="109">
        <f>SUM(I19:I30)</f>
        <v>-10552.67</v>
      </c>
    </row>
    <row r="32" spans="1:7" ht="18">
      <c r="A32" s="20"/>
      <c r="B32" s="20"/>
      <c r="C32" s="20"/>
      <c r="D32" s="20"/>
      <c r="E32" s="20"/>
      <c r="F32" s="20"/>
      <c r="G32" s="20"/>
    </row>
    <row r="33" spans="1:7" ht="18">
      <c r="A33" s="21"/>
      <c r="B33" s="20"/>
      <c r="C33" s="20"/>
      <c r="D33" s="20"/>
      <c r="E33" s="20"/>
      <c r="F33" s="20"/>
      <c r="G33" s="100">
        <f>E31-G31</f>
        <v>9837.67</v>
      </c>
    </row>
    <row r="34" spans="1:7" ht="18">
      <c r="A34" s="21"/>
      <c r="B34" s="20"/>
      <c r="C34" s="20"/>
      <c r="D34" s="20"/>
      <c r="E34" s="20"/>
      <c r="F34" s="20"/>
      <c r="G34" s="20"/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0"/>
      <c r="B36" s="20"/>
      <c r="C36" s="20"/>
      <c r="D36" s="20"/>
      <c r="E36" s="20"/>
      <c r="F36" s="20"/>
      <c r="G36" s="100"/>
    </row>
    <row r="37" spans="1:7" ht="18">
      <c r="A37" s="20"/>
      <c r="B37" s="20"/>
      <c r="C37" s="20"/>
      <c r="D37" s="20"/>
      <c r="E37" s="20"/>
      <c r="F37" s="20"/>
      <c r="G37" s="20"/>
    </row>
    <row r="38" spans="1:7" ht="18">
      <c r="A38" s="20"/>
      <c r="B38" s="20"/>
      <c r="C38" s="20"/>
      <c r="D38" s="20"/>
      <c r="E38" s="20"/>
      <c r="F38" s="20"/>
      <c r="G38" s="20"/>
    </row>
    <row r="39" spans="1:7" ht="18">
      <c r="A39" s="20"/>
      <c r="B39" s="20"/>
      <c r="C39" s="20"/>
      <c r="D39" s="20"/>
      <c r="E39" s="20"/>
      <c r="F39" s="20"/>
      <c r="G39" s="20"/>
    </row>
  </sheetData>
  <sheetProtection/>
  <mergeCells count="13">
    <mergeCell ref="A2:G2"/>
    <mergeCell ref="A3:G3"/>
    <mergeCell ref="A4:G4"/>
    <mergeCell ref="A5:G5"/>
    <mergeCell ref="E7:G7"/>
    <mergeCell ref="E8:G8"/>
    <mergeCell ref="F14:F17"/>
    <mergeCell ref="E9:G9"/>
    <mergeCell ref="A10:G10"/>
    <mergeCell ref="A11:G11"/>
    <mergeCell ref="B12:E12"/>
    <mergeCell ref="F12:G12"/>
    <mergeCell ref="F13:G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8" width="9.140625" style="1" customWidth="1"/>
    <col min="9" max="9" width="10.57421875" style="1" bestFit="1" customWidth="1"/>
    <col min="10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64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74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130"/>
      <c r="C13" s="132"/>
      <c r="D13" s="132"/>
      <c r="E13" s="131"/>
      <c r="F13" s="163" t="s">
        <v>68</v>
      </c>
      <c r="G13" s="164"/>
    </row>
    <row r="14" spans="1:7" ht="18">
      <c r="A14" s="8"/>
      <c r="B14" s="129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131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9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f>'4 квартал 2020г. '!G19</f>
        <v>1235.5</v>
      </c>
      <c r="G19" s="18">
        <f>F19</f>
        <v>1235.5</v>
      </c>
      <c r="I19" s="110">
        <f>G19-E19</f>
        <v>-764.5</v>
      </c>
    </row>
    <row r="20" spans="1:9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f>'4 квартал 2020г. '!G20</f>
        <v>1121</v>
      </c>
      <c r="G20" s="18">
        <f aca="true" t="shared" si="0" ref="G20:G31">F20</f>
        <v>1121</v>
      </c>
      <c r="I20" s="110">
        <f aca="true" t="shared" si="1" ref="I20:I30">G20-E20</f>
        <v>-879</v>
      </c>
    </row>
    <row r="21" spans="1:9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f>'4 квартал 2020г. '!G21</f>
        <v>1188</v>
      </c>
      <c r="G21" s="18">
        <f t="shared" si="0"/>
        <v>1188</v>
      </c>
      <c r="I21" s="110">
        <f t="shared" si="1"/>
        <v>-812</v>
      </c>
    </row>
    <row r="22" spans="1:9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f>'4 квартал 2020г. '!G22</f>
        <v>1194</v>
      </c>
      <c r="G22" s="18">
        <f t="shared" si="0"/>
        <v>1194</v>
      </c>
      <c r="I22" s="110">
        <f t="shared" si="1"/>
        <v>-806</v>
      </c>
    </row>
    <row r="23" spans="1:9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f>'4 квартал 2020г. '!G23</f>
        <v>1067</v>
      </c>
      <c r="G23" s="18">
        <f t="shared" si="0"/>
        <v>1067</v>
      </c>
      <c r="I23" s="110">
        <f t="shared" si="1"/>
        <v>-933</v>
      </c>
    </row>
    <row r="24" spans="1:9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f>'4 квартал 2020г. '!G24</f>
        <v>850.8</v>
      </c>
      <c r="G24" s="18">
        <f t="shared" si="0"/>
        <v>850.8</v>
      </c>
      <c r="I24" s="110">
        <f t="shared" si="1"/>
        <v>-1149.2</v>
      </c>
    </row>
    <row r="25" spans="1:9" ht="18">
      <c r="A25" s="17">
        <v>7</v>
      </c>
      <c r="B25" s="17" t="s">
        <v>47</v>
      </c>
      <c r="C25" s="17" t="s">
        <v>33</v>
      </c>
      <c r="D25" s="18">
        <v>2</v>
      </c>
      <c r="E25" s="18">
        <f>1250*2</f>
        <v>2500</v>
      </c>
      <c r="F25" s="18">
        <f>'4 квартал 2020г. '!G25</f>
        <v>1657</v>
      </c>
      <c r="G25" s="18">
        <f t="shared" si="0"/>
        <v>1657</v>
      </c>
      <c r="I25" s="110">
        <f t="shared" si="1"/>
        <v>-843</v>
      </c>
    </row>
    <row r="26" spans="1:9" ht="18">
      <c r="A26" s="17">
        <v>8</v>
      </c>
      <c r="B26" s="17" t="s">
        <v>48</v>
      </c>
      <c r="C26" s="17" t="s">
        <v>33</v>
      </c>
      <c r="D26" s="18">
        <v>2</v>
      </c>
      <c r="E26" s="18">
        <f>1000*2</f>
        <v>2000</v>
      </c>
      <c r="F26" s="18">
        <f>'4 квартал 2020г. '!G26</f>
        <v>1154</v>
      </c>
      <c r="G26" s="18">
        <f t="shared" si="0"/>
        <v>1154</v>
      </c>
      <c r="I26" s="110">
        <f t="shared" si="1"/>
        <v>-846</v>
      </c>
    </row>
    <row r="27" spans="1:9" ht="18">
      <c r="A27" s="17">
        <v>9</v>
      </c>
      <c r="B27" s="17" t="s">
        <v>49</v>
      </c>
      <c r="C27" s="17" t="s">
        <v>33</v>
      </c>
      <c r="D27" s="18">
        <v>2</v>
      </c>
      <c r="E27" s="18">
        <f>1000*2</f>
        <v>2000</v>
      </c>
      <c r="F27" s="18">
        <f>'4 квартал 2020г. '!G27</f>
        <v>1092</v>
      </c>
      <c r="G27" s="18">
        <f>F27-41</f>
        <v>1051</v>
      </c>
      <c r="I27" s="110">
        <f t="shared" si="1"/>
        <v>-949</v>
      </c>
    </row>
    <row r="28" spans="1:9" ht="18">
      <c r="A28" s="17">
        <v>10</v>
      </c>
      <c r="B28" s="116" t="s">
        <v>61</v>
      </c>
      <c r="C28" s="17" t="s">
        <v>33</v>
      </c>
      <c r="D28" s="18">
        <v>2</v>
      </c>
      <c r="E28" s="18">
        <f>1000*2</f>
        <v>2000</v>
      </c>
      <c r="F28" s="18">
        <f>'4 квартал 2020г. '!G28</f>
        <v>440.03</v>
      </c>
      <c r="G28" s="18">
        <f>F28-60-20</f>
        <v>360.03</v>
      </c>
      <c r="I28" s="110">
        <f t="shared" si="1"/>
        <v>-1639.97</v>
      </c>
    </row>
    <row r="29" spans="1:9" ht="18">
      <c r="A29" s="17">
        <v>11</v>
      </c>
      <c r="B29" s="116" t="s">
        <v>62</v>
      </c>
      <c r="C29" s="17" t="s">
        <v>33</v>
      </c>
      <c r="D29" s="18">
        <v>2</v>
      </c>
      <c r="E29" s="18">
        <f>1000*2</f>
        <v>2000</v>
      </c>
      <c r="F29" s="18">
        <f>'4 квартал 2020г. '!G29</f>
        <v>1275.5</v>
      </c>
      <c r="G29" s="18">
        <f t="shared" si="0"/>
        <v>1275.5</v>
      </c>
      <c r="I29" s="110">
        <f t="shared" si="1"/>
        <v>-724.5</v>
      </c>
    </row>
    <row r="30" spans="1:9" ht="18">
      <c r="A30" s="17">
        <v>12</v>
      </c>
      <c r="B30" s="17" t="s">
        <v>63</v>
      </c>
      <c r="C30" s="17" t="s">
        <v>33</v>
      </c>
      <c r="D30" s="18">
        <v>2</v>
      </c>
      <c r="E30" s="18">
        <f>1000*2</f>
        <v>2000</v>
      </c>
      <c r="F30" s="18">
        <f>'4 квартал 2020г. '!G30</f>
        <v>1793.5</v>
      </c>
      <c r="G30" s="18">
        <f t="shared" si="0"/>
        <v>1793.5</v>
      </c>
      <c r="I30" s="110">
        <f t="shared" si="1"/>
        <v>-206.5</v>
      </c>
    </row>
    <row r="31" spans="1:9" ht="18">
      <c r="A31" s="19" t="s">
        <v>34</v>
      </c>
      <c r="B31" s="19"/>
      <c r="C31" s="19"/>
      <c r="D31" s="19"/>
      <c r="E31" s="16">
        <f>SUM(E19:E30)</f>
        <v>24500</v>
      </c>
      <c r="F31" s="16">
        <f>'3 квартал 2020г'!G31</f>
        <v>14662.33</v>
      </c>
      <c r="G31" s="16">
        <f t="shared" si="0"/>
        <v>14662.33</v>
      </c>
      <c r="I31" s="109">
        <f>SUM(I19:I30)</f>
        <v>-10552.67</v>
      </c>
    </row>
    <row r="32" spans="1:7" ht="18">
      <c r="A32" s="20"/>
      <c r="B32" s="20"/>
      <c r="C32" s="20"/>
      <c r="D32" s="20"/>
      <c r="E32" s="20"/>
      <c r="F32" s="20"/>
      <c r="G32" s="20"/>
    </row>
    <row r="33" spans="1:7" ht="18">
      <c r="A33" s="21"/>
      <c r="B33" s="20"/>
      <c r="C33" s="20"/>
      <c r="D33" s="20"/>
      <c r="E33" s="20"/>
      <c r="F33" s="20"/>
      <c r="G33" s="100">
        <f>E31-G31</f>
        <v>9837.67</v>
      </c>
    </row>
    <row r="34" spans="1:7" ht="18">
      <c r="A34" s="21"/>
      <c r="B34" s="20"/>
      <c r="C34" s="20"/>
      <c r="D34" s="20"/>
      <c r="E34" s="20"/>
      <c r="F34" s="20"/>
      <c r="G34" s="20"/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0"/>
      <c r="B36" s="20"/>
      <c r="C36" s="20"/>
      <c r="D36" s="20"/>
      <c r="E36" s="20"/>
      <c r="F36" s="20"/>
      <c r="G36" s="100"/>
    </row>
    <row r="37" spans="1:7" ht="18">
      <c r="A37" s="20"/>
      <c r="B37" s="20"/>
      <c r="C37" s="20"/>
      <c r="D37" s="20"/>
      <c r="E37" s="20"/>
      <c r="F37" s="20"/>
      <c r="G37" s="20"/>
    </row>
    <row r="38" spans="1:7" ht="18">
      <c r="A38" s="20"/>
      <c r="B38" s="20"/>
      <c r="C38" s="20"/>
      <c r="D38" s="20"/>
      <c r="E38" s="20"/>
      <c r="F38" s="20"/>
      <c r="G38" s="20"/>
    </row>
    <row r="39" spans="1:7" ht="18">
      <c r="A39" s="20"/>
      <c r="B39" s="20"/>
      <c r="C39" s="20"/>
      <c r="D39" s="20"/>
      <c r="E39" s="20"/>
      <c r="F39" s="20"/>
      <c r="G39" s="20"/>
    </row>
  </sheetData>
  <sheetProtection/>
  <mergeCells count="13">
    <mergeCell ref="A2:G2"/>
    <mergeCell ref="A3:G3"/>
    <mergeCell ref="A4:G4"/>
    <mergeCell ref="A5:G5"/>
    <mergeCell ref="E7:G7"/>
    <mergeCell ref="E8:G8"/>
    <mergeCell ref="F14:F17"/>
    <mergeCell ref="E9:G9"/>
    <mergeCell ref="A10:G10"/>
    <mergeCell ref="A11:G11"/>
    <mergeCell ref="B12:E12"/>
    <mergeCell ref="F12:G12"/>
    <mergeCell ref="F13:G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22">
      <selection activeCell="A11" sqref="A11:G11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8" width="9.140625" style="1" customWidth="1"/>
    <col min="9" max="9" width="10.57421875" style="1" bestFit="1" customWidth="1"/>
    <col min="10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64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75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134"/>
      <c r="C13" s="136"/>
      <c r="D13" s="136"/>
      <c r="E13" s="135"/>
      <c r="F13" s="163" t="s">
        <v>68</v>
      </c>
      <c r="G13" s="164"/>
    </row>
    <row r="14" spans="1:7" ht="18">
      <c r="A14" s="8"/>
      <c r="B14" s="133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135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9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v>921</v>
      </c>
      <c r="G19" s="18">
        <f>F19</f>
        <v>921</v>
      </c>
      <c r="I19" s="110">
        <f>G19-E19</f>
        <v>-1079</v>
      </c>
    </row>
    <row r="20" spans="1:9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v>808</v>
      </c>
      <c r="G20" s="18">
        <f aca="true" t="shared" si="0" ref="G20:G33">F20</f>
        <v>808</v>
      </c>
      <c r="I20" s="110">
        <f aca="true" t="shared" si="1" ref="I20:I32">G20-E20</f>
        <v>-1192</v>
      </c>
    </row>
    <row r="21" spans="1:9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v>922</v>
      </c>
      <c r="G21" s="18">
        <f t="shared" si="0"/>
        <v>922</v>
      </c>
      <c r="I21" s="110">
        <f t="shared" si="1"/>
        <v>-1078</v>
      </c>
    </row>
    <row r="22" spans="1:9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v>878</v>
      </c>
      <c r="G22" s="18">
        <f t="shared" si="0"/>
        <v>878</v>
      </c>
      <c r="I22" s="110">
        <f t="shared" si="1"/>
        <v>-1122</v>
      </c>
    </row>
    <row r="23" spans="1:9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v>750</v>
      </c>
      <c r="G23" s="18">
        <f t="shared" si="0"/>
        <v>750</v>
      </c>
      <c r="I23" s="110">
        <f t="shared" si="1"/>
        <v>-1250</v>
      </c>
    </row>
    <row r="24" spans="1:9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v>489</v>
      </c>
      <c r="G24" s="18">
        <f t="shared" si="0"/>
        <v>489</v>
      </c>
      <c r="I24" s="110">
        <f t="shared" si="1"/>
        <v>-1511</v>
      </c>
    </row>
    <row r="25" spans="1:9" ht="18">
      <c r="A25" s="17">
        <v>7</v>
      </c>
      <c r="B25" s="17" t="s">
        <v>47</v>
      </c>
      <c r="C25" s="17" t="s">
        <v>33</v>
      </c>
      <c r="D25" s="18">
        <v>2</v>
      </c>
      <c r="E25" s="18">
        <f>1250*2</f>
        <v>2500</v>
      </c>
      <c r="F25" s="18">
        <v>1158</v>
      </c>
      <c r="G25" s="18">
        <f t="shared" si="0"/>
        <v>1158</v>
      </c>
      <c r="I25" s="110">
        <f t="shared" si="1"/>
        <v>-1342</v>
      </c>
    </row>
    <row r="26" spans="1:9" ht="18">
      <c r="A26" s="17">
        <v>8</v>
      </c>
      <c r="B26" s="17" t="s">
        <v>48</v>
      </c>
      <c r="C26" s="17" t="s">
        <v>33</v>
      </c>
      <c r="D26" s="18">
        <v>2</v>
      </c>
      <c r="E26" s="18">
        <f>1000*2</f>
        <v>2000</v>
      </c>
      <c r="F26" s="18">
        <v>784</v>
      </c>
      <c r="G26" s="18">
        <f t="shared" si="0"/>
        <v>784</v>
      </c>
      <c r="I26" s="110">
        <f t="shared" si="1"/>
        <v>-1216</v>
      </c>
    </row>
    <row r="27" spans="1:9" ht="18">
      <c r="A27" s="17">
        <v>9</v>
      </c>
      <c r="B27" s="17" t="s">
        <v>49</v>
      </c>
      <c r="C27" s="17" t="s">
        <v>33</v>
      </c>
      <c r="D27" s="18">
        <v>2</v>
      </c>
      <c r="E27" s="18">
        <f>1000*2</f>
        <v>2000</v>
      </c>
      <c r="F27" s="18">
        <v>653</v>
      </c>
      <c r="G27" s="18">
        <f>F27</f>
        <v>653</v>
      </c>
      <c r="I27" s="110">
        <f t="shared" si="1"/>
        <v>-1347</v>
      </c>
    </row>
    <row r="28" spans="1:9" ht="18">
      <c r="A28" s="17">
        <v>10</v>
      </c>
      <c r="B28" s="116" t="s">
        <v>61</v>
      </c>
      <c r="C28" s="17" t="s">
        <v>33</v>
      </c>
      <c r="D28" s="18">
        <v>2</v>
      </c>
      <c r="E28" s="18">
        <f>1000*2</f>
        <v>2000</v>
      </c>
      <c r="F28" s="18">
        <v>476</v>
      </c>
      <c r="G28" s="18">
        <f>F28</f>
        <v>476</v>
      </c>
      <c r="I28" s="110">
        <f t="shared" si="1"/>
        <v>-1524</v>
      </c>
    </row>
    <row r="29" spans="1:9" ht="18">
      <c r="A29" s="17">
        <v>11</v>
      </c>
      <c r="B29" s="116" t="s">
        <v>62</v>
      </c>
      <c r="C29" s="17" t="s">
        <v>33</v>
      </c>
      <c r="D29" s="18">
        <v>2</v>
      </c>
      <c r="E29" s="18">
        <f>1000*2</f>
        <v>2000</v>
      </c>
      <c r="F29" s="18">
        <v>1107</v>
      </c>
      <c r="G29" s="18">
        <f t="shared" si="0"/>
        <v>1107</v>
      </c>
      <c r="I29" s="110">
        <f t="shared" si="1"/>
        <v>-893</v>
      </c>
    </row>
    <row r="30" spans="1:9" ht="18">
      <c r="A30" s="17">
        <v>12</v>
      </c>
      <c r="B30" s="17" t="s">
        <v>63</v>
      </c>
      <c r="C30" s="17" t="s">
        <v>33</v>
      </c>
      <c r="D30" s="18">
        <v>2</v>
      </c>
      <c r="E30" s="18">
        <f>1000*2</f>
        <v>2000</v>
      </c>
      <c r="F30" s="18">
        <v>865</v>
      </c>
      <c r="G30" s="18">
        <f t="shared" si="0"/>
        <v>865</v>
      </c>
      <c r="I30" s="110">
        <f t="shared" si="1"/>
        <v>-1135</v>
      </c>
    </row>
    <row r="31" spans="1:9" ht="18">
      <c r="A31" s="17">
        <v>13</v>
      </c>
      <c r="B31" s="17" t="s">
        <v>76</v>
      </c>
      <c r="C31" s="17" t="s">
        <v>33</v>
      </c>
      <c r="D31" s="18">
        <v>2</v>
      </c>
      <c r="E31" s="18">
        <v>2000</v>
      </c>
      <c r="F31" s="18">
        <v>1096</v>
      </c>
      <c r="G31" s="18">
        <f t="shared" si="0"/>
        <v>1096</v>
      </c>
      <c r="I31" s="110">
        <f t="shared" si="1"/>
        <v>-904</v>
      </c>
    </row>
    <row r="32" spans="1:9" ht="18">
      <c r="A32" s="17">
        <v>14</v>
      </c>
      <c r="B32" s="17" t="s">
        <v>77</v>
      </c>
      <c r="C32" s="17" t="s">
        <v>33</v>
      </c>
      <c r="D32" s="18">
        <v>2</v>
      </c>
      <c r="E32" s="18">
        <v>2000</v>
      </c>
      <c r="F32" s="18">
        <v>1005</v>
      </c>
      <c r="G32" s="18">
        <f t="shared" si="0"/>
        <v>1005</v>
      </c>
      <c r="I32" s="110">
        <f t="shared" si="1"/>
        <v>-995</v>
      </c>
    </row>
    <row r="33" spans="1:9" ht="18">
      <c r="A33" s="19" t="s">
        <v>34</v>
      </c>
      <c r="B33" s="19"/>
      <c r="C33" s="19"/>
      <c r="D33" s="19"/>
      <c r="E33" s="16">
        <f>SUM(E19:E32)</f>
        <v>28500</v>
      </c>
      <c r="F33" s="16">
        <f>SUM(F19:F32)</f>
        <v>11912</v>
      </c>
      <c r="G33" s="16">
        <f t="shared" si="0"/>
        <v>11912</v>
      </c>
      <c r="I33" s="109">
        <f>SUM(I19:I32)</f>
        <v>-16588</v>
      </c>
    </row>
    <row r="34" spans="1:7" ht="18">
      <c r="A34" s="20"/>
      <c r="B34" s="20"/>
      <c r="C34" s="20"/>
      <c r="D34" s="20"/>
      <c r="E34" s="20"/>
      <c r="F34" s="20"/>
      <c r="G34" s="20"/>
    </row>
    <row r="35" spans="1:7" ht="18">
      <c r="A35" s="21"/>
      <c r="B35" s="20"/>
      <c r="C35" s="20"/>
      <c r="D35" s="20"/>
      <c r="E35" s="20"/>
      <c r="F35" s="20"/>
      <c r="G35" s="100">
        <f>E33-G33</f>
        <v>16588</v>
      </c>
    </row>
    <row r="36" spans="1:7" ht="18">
      <c r="A36" s="21"/>
      <c r="B36" s="20"/>
      <c r="C36" s="20"/>
      <c r="D36" s="20"/>
      <c r="E36" s="20"/>
      <c r="F36" s="20"/>
      <c r="G36" s="20"/>
    </row>
    <row r="37" spans="1:7" ht="18">
      <c r="A37" s="20"/>
      <c r="B37" s="20"/>
      <c r="C37" s="20"/>
      <c r="D37" s="20"/>
      <c r="E37" s="20"/>
      <c r="F37" s="20"/>
      <c r="G37" s="20"/>
    </row>
    <row r="38" spans="1:7" ht="18">
      <c r="A38" s="20"/>
      <c r="B38" s="20"/>
      <c r="C38" s="20"/>
      <c r="D38" s="20"/>
      <c r="E38" s="20"/>
      <c r="F38" s="20"/>
      <c r="G38" s="100"/>
    </row>
    <row r="39" spans="1:7" ht="18">
      <c r="A39" s="20"/>
      <c r="B39" s="20"/>
      <c r="C39" s="20"/>
      <c r="D39" s="20"/>
      <c r="E39" s="20"/>
      <c r="F39" s="20"/>
      <c r="G39" s="20"/>
    </row>
    <row r="40" spans="1:7" ht="18">
      <c r="A40" s="20"/>
      <c r="B40" s="20"/>
      <c r="C40" s="20"/>
      <c r="D40" s="20"/>
      <c r="E40" s="20"/>
      <c r="F40" s="20"/>
      <c r="G40" s="20"/>
    </row>
    <row r="41" spans="1:7" ht="18">
      <c r="A41" s="20"/>
      <c r="B41" s="20"/>
      <c r="C41" s="20"/>
      <c r="D41" s="20"/>
      <c r="E41" s="20"/>
      <c r="F41" s="20"/>
      <c r="G41" s="20"/>
    </row>
  </sheetData>
  <sheetProtection/>
  <mergeCells count="13">
    <mergeCell ref="F14:F17"/>
    <mergeCell ref="E9:G9"/>
    <mergeCell ref="A10:G10"/>
    <mergeCell ref="A11:G11"/>
    <mergeCell ref="B12:E12"/>
    <mergeCell ref="F12:G12"/>
    <mergeCell ref="F13:G13"/>
    <mergeCell ref="A2:G2"/>
    <mergeCell ref="A3:G3"/>
    <mergeCell ref="A4:G4"/>
    <mergeCell ref="A5:G5"/>
    <mergeCell ref="E7:G7"/>
    <mergeCell ref="E8:G8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0">
      <selection activeCell="J23" sqref="J23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8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39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27"/>
      <c r="C13" s="29"/>
      <c r="D13" s="29"/>
      <c r="E13" s="28"/>
      <c r="F13" s="163" t="s">
        <v>37</v>
      </c>
      <c r="G13" s="164"/>
    </row>
    <row r="14" spans="1:7" ht="18">
      <c r="A14" s="8"/>
      <c r="B14" s="26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28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7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v>1321</v>
      </c>
      <c r="G19" s="18">
        <f>F19</f>
        <v>1321</v>
      </c>
    </row>
    <row r="20" spans="1:7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v>1487</v>
      </c>
      <c r="G20" s="18">
        <f>F20</f>
        <v>1487</v>
      </c>
    </row>
    <row r="21" spans="1:7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v>1537</v>
      </c>
      <c r="G21" s="18">
        <f>F21</f>
        <v>1537</v>
      </c>
    </row>
    <row r="22" spans="1:7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v>1768</v>
      </c>
      <c r="G22" s="18">
        <f>F22-42</f>
        <v>1726</v>
      </c>
    </row>
    <row r="23" spans="1:7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v>1665</v>
      </c>
      <c r="G23" s="18">
        <f>F23-55-55-55-4</f>
        <v>1496</v>
      </c>
    </row>
    <row r="24" spans="1:7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v>2000</v>
      </c>
      <c r="G24" s="18">
        <f>F24</f>
        <v>2000</v>
      </c>
    </row>
    <row r="25" spans="1:7" ht="18">
      <c r="A25" s="19" t="s">
        <v>34</v>
      </c>
      <c r="B25" s="19"/>
      <c r="C25" s="19"/>
      <c r="D25" s="19"/>
      <c r="E25" s="16">
        <f>E19+E20+E21+E22+E23+E24</f>
        <v>12000</v>
      </c>
      <c r="F25" s="16">
        <f>F19+F20+F21+F22+F23+F24</f>
        <v>9778</v>
      </c>
      <c r="G25" s="16">
        <f>G19+G20+G21+G22+G23+G24</f>
        <v>9567</v>
      </c>
    </row>
    <row r="26" spans="1:7" ht="18">
      <c r="A26" s="20"/>
      <c r="B26" s="20"/>
      <c r="C26" s="20"/>
      <c r="D26" s="20"/>
      <c r="E26" s="20"/>
      <c r="F26" s="20"/>
      <c r="G26" s="20"/>
    </row>
    <row r="27" spans="1:7" ht="18">
      <c r="A27" s="21" t="s">
        <v>36</v>
      </c>
      <c r="B27" s="20"/>
      <c r="C27" s="20"/>
      <c r="D27" s="20"/>
      <c r="E27" s="20"/>
      <c r="F27" s="20"/>
      <c r="G27" s="20"/>
    </row>
    <row r="28" spans="1:7" ht="18">
      <c r="A28" s="21" t="s">
        <v>35</v>
      </c>
      <c r="B28" s="20"/>
      <c r="C28" s="20"/>
      <c r="D28" s="20"/>
      <c r="E28" s="20"/>
      <c r="F28" s="20"/>
      <c r="G28" s="20"/>
    </row>
    <row r="29" spans="1:7" ht="18">
      <c r="A29" s="20"/>
      <c r="B29" s="20"/>
      <c r="C29" s="20"/>
      <c r="D29" s="20"/>
      <c r="E29" s="20"/>
      <c r="F29" s="20"/>
      <c r="G29" s="20"/>
    </row>
    <row r="30" spans="1:7" ht="18">
      <c r="A30" s="20"/>
      <c r="B30" s="20"/>
      <c r="C30" s="20"/>
      <c r="D30" s="20"/>
      <c r="E30" s="20"/>
      <c r="F30" s="20"/>
      <c r="G30" s="20"/>
    </row>
    <row r="31" spans="1:7" ht="18">
      <c r="A31" s="20"/>
      <c r="B31" s="20"/>
      <c r="C31" s="20"/>
      <c r="D31" s="20"/>
      <c r="E31" s="20"/>
      <c r="F31" s="20"/>
      <c r="G31" s="20"/>
    </row>
    <row r="32" spans="1:7" ht="18">
      <c r="A32" s="20"/>
      <c r="B32" s="20"/>
      <c r="C32" s="20"/>
      <c r="D32" s="20"/>
      <c r="E32" s="20"/>
      <c r="F32" s="20"/>
      <c r="G32" s="20"/>
    </row>
    <row r="33" spans="1:7" ht="18">
      <c r="A33" s="20"/>
      <c r="B33" s="20"/>
      <c r="C33" s="20"/>
      <c r="D33" s="20"/>
      <c r="E33" s="20"/>
      <c r="F33" s="20"/>
      <c r="G33" s="20"/>
    </row>
  </sheetData>
  <sheetProtection/>
  <mergeCells count="13">
    <mergeCell ref="F14:F17"/>
    <mergeCell ref="E9:G9"/>
    <mergeCell ref="A10:G10"/>
    <mergeCell ref="A11:G11"/>
    <mergeCell ref="B12:E12"/>
    <mergeCell ref="F12:G12"/>
    <mergeCell ref="F13:G13"/>
    <mergeCell ref="A2:G2"/>
    <mergeCell ref="A3:G3"/>
    <mergeCell ref="A4:G4"/>
    <mergeCell ref="A5:G5"/>
    <mergeCell ref="E7:G7"/>
    <mergeCell ref="E8:G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4">
      <selection activeCell="A12" sqref="A12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8" width="9.140625" style="1" customWidth="1"/>
    <col min="9" max="9" width="10.57421875" style="1" bestFit="1" customWidth="1"/>
    <col min="10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64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78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138"/>
      <c r="C13" s="140"/>
      <c r="D13" s="140"/>
      <c r="E13" s="139"/>
      <c r="F13" s="163" t="s">
        <v>68</v>
      </c>
      <c r="G13" s="164"/>
    </row>
    <row r="14" spans="1:7" ht="18">
      <c r="A14" s="8"/>
      <c r="B14" s="137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139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9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v>921</v>
      </c>
      <c r="G19" s="18">
        <f>F19</f>
        <v>921</v>
      </c>
      <c r="I19" s="110">
        <f>G19-E19</f>
        <v>-1079</v>
      </c>
    </row>
    <row r="20" spans="1:9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v>808</v>
      </c>
      <c r="G20" s="18">
        <f aca="true" t="shared" si="0" ref="G20:G33">F20</f>
        <v>808</v>
      </c>
      <c r="I20" s="110">
        <f aca="true" t="shared" si="1" ref="I20:I32">G20-E20</f>
        <v>-1192</v>
      </c>
    </row>
    <row r="21" spans="1:9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v>922</v>
      </c>
      <c r="G21" s="18">
        <f t="shared" si="0"/>
        <v>922</v>
      </c>
      <c r="I21" s="110">
        <f t="shared" si="1"/>
        <v>-1078</v>
      </c>
    </row>
    <row r="22" spans="1:9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v>878</v>
      </c>
      <c r="G22" s="18">
        <f t="shared" si="0"/>
        <v>878</v>
      </c>
      <c r="I22" s="110">
        <f t="shared" si="1"/>
        <v>-1122</v>
      </c>
    </row>
    <row r="23" spans="1:9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v>750</v>
      </c>
      <c r="G23" s="18">
        <f t="shared" si="0"/>
        <v>750</v>
      </c>
      <c r="I23" s="110">
        <f t="shared" si="1"/>
        <v>-1250</v>
      </c>
    </row>
    <row r="24" spans="1:9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v>489</v>
      </c>
      <c r="G24" s="18">
        <f t="shared" si="0"/>
        <v>489</v>
      </c>
      <c r="I24" s="110">
        <f t="shared" si="1"/>
        <v>-1511</v>
      </c>
    </row>
    <row r="25" spans="1:9" ht="18">
      <c r="A25" s="17">
        <v>7</v>
      </c>
      <c r="B25" s="17" t="s">
        <v>47</v>
      </c>
      <c r="C25" s="17" t="s">
        <v>33</v>
      </c>
      <c r="D25" s="18">
        <v>2</v>
      </c>
      <c r="E25" s="18">
        <f>1250*2</f>
        <v>2500</v>
      </c>
      <c r="F25" s="18">
        <v>1158</v>
      </c>
      <c r="G25" s="18">
        <f t="shared" si="0"/>
        <v>1158</v>
      </c>
      <c r="I25" s="110">
        <f t="shared" si="1"/>
        <v>-1342</v>
      </c>
    </row>
    <row r="26" spans="1:9" ht="18">
      <c r="A26" s="17">
        <v>8</v>
      </c>
      <c r="B26" s="17" t="s">
        <v>48</v>
      </c>
      <c r="C26" s="17" t="s">
        <v>33</v>
      </c>
      <c r="D26" s="18">
        <v>2</v>
      </c>
      <c r="E26" s="18">
        <f>1000*2</f>
        <v>2000</v>
      </c>
      <c r="F26" s="18">
        <v>784</v>
      </c>
      <c r="G26" s="18">
        <f t="shared" si="0"/>
        <v>784</v>
      </c>
      <c r="I26" s="110">
        <f t="shared" si="1"/>
        <v>-1216</v>
      </c>
    </row>
    <row r="27" spans="1:9" ht="18">
      <c r="A27" s="17">
        <v>9</v>
      </c>
      <c r="B27" s="17" t="s">
        <v>49</v>
      </c>
      <c r="C27" s="17" t="s">
        <v>33</v>
      </c>
      <c r="D27" s="18">
        <v>2</v>
      </c>
      <c r="E27" s="18">
        <f>1000*2</f>
        <v>2000</v>
      </c>
      <c r="F27" s="18">
        <v>653</v>
      </c>
      <c r="G27" s="18">
        <f>F27</f>
        <v>653</v>
      </c>
      <c r="I27" s="110">
        <f t="shared" si="1"/>
        <v>-1347</v>
      </c>
    </row>
    <row r="28" spans="1:9" ht="18">
      <c r="A28" s="17">
        <v>10</v>
      </c>
      <c r="B28" s="116" t="s">
        <v>61</v>
      </c>
      <c r="C28" s="17" t="s">
        <v>33</v>
      </c>
      <c r="D28" s="18">
        <v>2</v>
      </c>
      <c r="E28" s="18">
        <f>1000*2</f>
        <v>2000</v>
      </c>
      <c r="F28" s="18">
        <v>476</v>
      </c>
      <c r="G28" s="18">
        <f>F28</f>
        <v>476</v>
      </c>
      <c r="I28" s="110">
        <f t="shared" si="1"/>
        <v>-1524</v>
      </c>
    </row>
    <row r="29" spans="1:9" ht="18">
      <c r="A29" s="17">
        <v>11</v>
      </c>
      <c r="B29" s="116" t="s">
        <v>62</v>
      </c>
      <c r="C29" s="17" t="s">
        <v>33</v>
      </c>
      <c r="D29" s="18">
        <v>2</v>
      </c>
      <c r="E29" s="18">
        <f>1000*2</f>
        <v>2000</v>
      </c>
      <c r="F29" s="18">
        <v>1107</v>
      </c>
      <c r="G29" s="18">
        <f t="shared" si="0"/>
        <v>1107</v>
      </c>
      <c r="I29" s="110">
        <f t="shared" si="1"/>
        <v>-893</v>
      </c>
    </row>
    <row r="30" spans="1:9" ht="18">
      <c r="A30" s="17">
        <v>12</v>
      </c>
      <c r="B30" s="17" t="s">
        <v>63</v>
      </c>
      <c r="C30" s="17" t="s">
        <v>33</v>
      </c>
      <c r="D30" s="18">
        <v>2</v>
      </c>
      <c r="E30" s="18">
        <f>1000*2</f>
        <v>2000</v>
      </c>
      <c r="F30" s="18">
        <v>865</v>
      </c>
      <c r="G30" s="18">
        <f t="shared" si="0"/>
        <v>865</v>
      </c>
      <c r="I30" s="110">
        <f t="shared" si="1"/>
        <v>-1135</v>
      </c>
    </row>
    <row r="31" spans="1:9" ht="18">
      <c r="A31" s="17">
        <v>13</v>
      </c>
      <c r="B31" s="17" t="s">
        <v>76</v>
      </c>
      <c r="C31" s="17" t="s">
        <v>33</v>
      </c>
      <c r="D31" s="18">
        <v>2</v>
      </c>
      <c r="E31" s="18">
        <v>2000</v>
      </c>
      <c r="F31" s="18">
        <v>1096</v>
      </c>
      <c r="G31" s="18">
        <f t="shared" si="0"/>
        <v>1096</v>
      </c>
      <c r="I31" s="110">
        <f t="shared" si="1"/>
        <v>-904</v>
      </c>
    </row>
    <row r="32" spans="1:9" ht="18">
      <c r="A32" s="17">
        <v>14</v>
      </c>
      <c r="B32" s="17" t="s">
        <v>77</v>
      </c>
      <c r="C32" s="17" t="s">
        <v>33</v>
      </c>
      <c r="D32" s="18">
        <v>2</v>
      </c>
      <c r="E32" s="18">
        <v>2000</v>
      </c>
      <c r="F32" s="18">
        <v>1005</v>
      </c>
      <c r="G32" s="18">
        <f t="shared" si="0"/>
        <v>1005</v>
      </c>
      <c r="I32" s="110">
        <f t="shared" si="1"/>
        <v>-995</v>
      </c>
    </row>
    <row r="33" spans="1:9" ht="18">
      <c r="A33" s="19" t="s">
        <v>34</v>
      </c>
      <c r="B33" s="19"/>
      <c r="C33" s="19"/>
      <c r="D33" s="19"/>
      <c r="E33" s="16">
        <f>SUM(E19:E32)</f>
        <v>28500</v>
      </c>
      <c r="F33" s="16">
        <f>SUM(F19:F32)</f>
        <v>11912</v>
      </c>
      <c r="G33" s="16">
        <f t="shared" si="0"/>
        <v>11912</v>
      </c>
      <c r="I33" s="109">
        <f>SUM(I19:I32)</f>
        <v>-16588</v>
      </c>
    </row>
    <row r="34" spans="1:7" ht="18">
      <c r="A34" s="20"/>
      <c r="B34" s="20"/>
      <c r="C34" s="20"/>
      <c r="D34" s="20"/>
      <c r="E34" s="20"/>
      <c r="F34" s="20"/>
      <c r="G34" s="20"/>
    </row>
    <row r="35" spans="1:7" ht="18">
      <c r="A35" s="21"/>
      <c r="B35" s="20"/>
      <c r="C35" s="20"/>
      <c r="D35" s="20"/>
      <c r="E35" s="20"/>
      <c r="F35" s="20"/>
      <c r="G35" s="100">
        <f>E33-G33</f>
        <v>16588</v>
      </c>
    </row>
    <row r="36" spans="1:7" ht="18">
      <c r="A36" s="21"/>
      <c r="B36" s="20"/>
      <c r="C36" s="20"/>
      <c r="D36" s="20"/>
      <c r="E36" s="20"/>
      <c r="F36" s="20"/>
      <c r="G36" s="20"/>
    </row>
    <row r="37" spans="1:7" ht="18">
      <c r="A37" s="20"/>
      <c r="B37" s="20"/>
      <c r="C37" s="20"/>
      <c r="D37" s="20"/>
      <c r="E37" s="20"/>
      <c r="F37" s="20"/>
      <c r="G37" s="20"/>
    </row>
    <row r="38" spans="1:7" ht="18">
      <c r="A38" s="20"/>
      <c r="B38" s="20"/>
      <c r="C38" s="20"/>
      <c r="D38" s="20"/>
      <c r="E38" s="20"/>
      <c r="F38" s="20"/>
      <c r="G38" s="100"/>
    </row>
    <row r="39" spans="1:7" ht="18">
      <c r="A39" s="20"/>
      <c r="B39" s="20"/>
      <c r="C39" s="20"/>
      <c r="D39" s="20"/>
      <c r="E39" s="20"/>
      <c r="F39" s="20"/>
      <c r="G39" s="20"/>
    </row>
    <row r="40" spans="1:7" ht="18">
      <c r="A40" s="20"/>
      <c r="B40" s="20"/>
      <c r="C40" s="20"/>
      <c r="D40" s="20"/>
      <c r="E40" s="20"/>
      <c r="F40" s="20"/>
      <c r="G40" s="20"/>
    </row>
    <row r="41" spans="1:7" ht="18">
      <c r="A41" s="20"/>
      <c r="B41" s="20"/>
      <c r="C41" s="20"/>
      <c r="D41" s="20"/>
      <c r="E41" s="20"/>
      <c r="F41" s="20"/>
      <c r="G41" s="20"/>
    </row>
  </sheetData>
  <sheetProtection/>
  <mergeCells count="13">
    <mergeCell ref="A2:G2"/>
    <mergeCell ref="A3:G3"/>
    <mergeCell ref="A4:G4"/>
    <mergeCell ref="A5:G5"/>
    <mergeCell ref="E7:G7"/>
    <mergeCell ref="E8:G8"/>
    <mergeCell ref="F14:F17"/>
    <mergeCell ref="E9:G9"/>
    <mergeCell ref="A10:G10"/>
    <mergeCell ref="A11:G11"/>
    <mergeCell ref="B12:E12"/>
    <mergeCell ref="F12:G12"/>
    <mergeCell ref="F13:G13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9">
      <selection activeCell="G36" sqref="G36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8" width="9.140625" style="1" customWidth="1"/>
    <col min="9" max="9" width="10.57421875" style="1" bestFit="1" customWidth="1"/>
    <col min="10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64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79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142"/>
      <c r="C13" s="144"/>
      <c r="D13" s="144"/>
      <c r="E13" s="143"/>
      <c r="F13" s="163" t="s">
        <v>68</v>
      </c>
      <c r="G13" s="164"/>
    </row>
    <row r="14" spans="1:7" ht="18">
      <c r="A14" s="8"/>
      <c r="B14" s="141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143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9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v>921</v>
      </c>
      <c r="G19" s="18">
        <f>F19</f>
        <v>921</v>
      </c>
      <c r="I19" s="110">
        <f>G19-E19</f>
        <v>-1079</v>
      </c>
    </row>
    <row r="20" spans="1:9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v>808</v>
      </c>
      <c r="G20" s="18">
        <f aca="true" t="shared" si="0" ref="G20:G33">F20</f>
        <v>808</v>
      </c>
      <c r="I20" s="110">
        <f aca="true" t="shared" si="1" ref="I20:I33">G20-E20</f>
        <v>-1192</v>
      </c>
    </row>
    <row r="21" spans="1:9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v>922</v>
      </c>
      <c r="G21" s="18">
        <f t="shared" si="0"/>
        <v>922</v>
      </c>
      <c r="I21" s="110">
        <f t="shared" si="1"/>
        <v>-1078</v>
      </c>
    </row>
    <row r="22" spans="1:9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v>878</v>
      </c>
      <c r="G22" s="18">
        <f t="shared" si="0"/>
        <v>878</v>
      </c>
      <c r="I22" s="110">
        <f t="shared" si="1"/>
        <v>-1122</v>
      </c>
    </row>
    <row r="23" spans="1:9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v>750</v>
      </c>
      <c r="G23" s="18">
        <f t="shared" si="0"/>
        <v>750</v>
      </c>
      <c r="I23" s="110">
        <f t="shared" si="1"/>
        <v>-1250</v>
      </c>
    </row>
    <row r="24" spans="1:9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v>489</v>
      </c>
      <c r="G24" s="18">
        <f t="shared" si="0"/>
        <v>489</v>
      </c>
      <c r="I24" s="110">
        <f t="shared" si="1"/>
        <v>-1511</v>
      </c>
    </row>
    <row r="25" spans="1:9" ht="18">
      <c r="A25" s="17">
        <v>7</v>
      </c>
      <c r="B25" s="17" t="s">
        <v>47</v>
      </c>
      <c r="C25" s="17" t="s">
        <v>33</v>
      </c>
      <c r="D25" s="18">
        <v>2</v>
      </c>
      <c r="E25" s="18">
        <f>1250*2</f>
        <v>2500</v>
      </c>
      <c r="F25" s="18">
        <v>1158</v>
      </c>
      <c r="G25" s="18">
        <f t="shared" si="0"/>
        <v>1158</v>
      </c>
      <c r="I25" s="110">
        <f t="shared" si="1"/>
        <v>-1342</v>
      </c>
    </row>
    <row r="26" spans="1:9" ht="18">
      <c r="A26" s="17">
        <v>8</v>
      </c>
      <c r="B26" s="17" t="s">
        <v>48</v>
      </c>
      <c r="C26" s="17" t="s">
        <v>33</v>
      </c>
      <c r="D26" s="18">
        <v>2</v>
      </c>
      <c r="E26" s="18">
        <f>1000*2</f>
        <v>2000</v>
      </c>
      <c r="F26" s="18">
        <v>784</v>
      </c>
      <c r="G26" s="18">
        <f t="shared" si="0"/>
        <v>784</v>
      </c>
      <c r="I26" s="110">
        <f t="shared" si="1"/>
        <v>-1216</v>
      </c>
    </row>
    <row r="27" spans="1:9" ht="18">
      <c r="A27" s="17">
        <v>9</v>
      </c>
      <c r="B27" s="17" t="s">
        <v>49</v>
      </c>
      <c r="C27" s="17" t="s">
        <v>33</v>
      </c>
      <c r="D27" s="18">
        <v>2</v>
      </c>
      <c r="E27" s="18">
        <f>1000*2</f>
        <v>2000</v>
      </c>
      <c r="F27" s="18">
        <v>653</v>
      </c>
      <c r="G27" s="18">
        <f>F27</f>
        <v>653</v>
      </c>
      <c r="I27" s="110">
        <f t="shared" si="1"/>
        <v>-1347</v>
      </c>
    </row>
    <row r="28" spans="1:9" ht="18">
      <c r="A28" s="17">
        <v>10</v>
      </c>
      <c r="B28" s="116" t="s">
        <v>61</v>
      </c>
      <c r="C28" s="17" t="s">
        <v>33</v>
      </c>
      <c r="D28" s="18">
        <v>2</v>
      </c>
      <c r="E28" s="18">
        <f>1000*2</f>
        <v>2000</v>
      </c>
      <c r="F28" s="18">
        <v>476</v>
      </c>
      <c r="G28" s="18">
        <f>F28</f>
        <v>476</v>
      </c>
      <c r="I28" s="110">
        <f t="shared" si="1"/>
        <v>-1524</v>
      </c>
    </row>
    <row r="29" spans="1:9" ht="18">
      <c r="A29" s="17">
        <v>11</v>
      </c>
      <c r="B29" s="116" t="s">
        <v>62</v>
      </c>
      <c r="C29" s="17" t="s">
        <v>33</v>
      </c>
      <c r="D29" s="18">
        <v>2</v>
      </c>
      <c r="E29" s="18">
        <f>1000*2</f>
        <v>2000</v>
      </c>
      <c r="F29" s="18">
        <v>1107</v>
      </c>
      <c r="G29" s="18">
        <f t="shared" si="0"/>
        <v>1107</v>
      </c>
      <c r="I29" s="110">
        <f t="shared" si="1"/>
        <v>-893</v>
      </c>
    </row>
    <row r="30" spans="1:9" ht="18">
      <c r="A30" s="17">
        <v>12</v>
      </c>
      <c r="B30" s="17" t="s">
        <v>63</v>
      </c>
      <c r="C30" s="17" t="s">
        <v>33</v>
      </c>
      <c r="D30" s="18">
        <v>2</v>
      </c>
      <c r="E30" s="18">
        <f>1000*2</f>
        <v>2000</v>
      </c>
      <c r="F30" s="18">
        <v>865</v>
      </c>
      <c r="G30" s="18">
        <f t="shared" si="0"/>
        <v>865</v>
      </c>
      <c r="I30" s="110">
        <f t="shared" si="1"/>
        <v>-1135</v>
      </c>
    </row>
    <row r="31" spans="1:9" ht="18">
      <c r="A31" s="17">
        <v>13</v>
      </c>
      <c r="B31" s="17" t="s">
        <v>76</v>
      </c>
      <c r="C31" s="17" t="s">
        <v>33</v>
      </c>
      <c r="D31" s="18">
        <v>2</v>
      </c>
      <c r="E31" s="18">
        <v>2000</v>
      </c>
      <c r="F31" s="18">
        <v>1096</v>
      </c>
      <c r="G31" s="18">
        <f t="shared" si="0"/>
        <v>1096</v>
      </c>
      <c r="I31" s="110">
        <f t="shared" si="1"/>
        <v>-904</v>
      </c>
    </row>
    <row r="32" spans="1:9" ht="18">
      <c r="A32" s="17">
        <v>14</v>
      </c>
      <c r="B32" s="17" t="s">
        <v>77</v>
      </c>
      <c r="C32" s="17" t="s">
        <v>33</v>
      </c>
      <c r="D32" s="18">
        <v>2</v>
      </c>
      <c r="E32" s="18">
        <v>2000</v>
      </c>
      <c r="F32" s="18">
        <v>504</v>
      </c>
      <c r="G32" s="18">
        <f t="shared" si="0"/>
        <v>504</v>
      </c>
      <c r="I32" s="110">
        <f t="shared" si="1"/>
        <v>-1496</v>
      </c>
    </row>
    <row r="33" spans="1:9" ht="18">
      <c r="A33" s="17">
        <v>15</v>
      </c>
      <c r="B33" s="17" t="s">
        <v>80</v>
      </c>
      <c r="C33" s="17" t="s">
        <v>33</v>
      </c>
      <c r="D33" s="18">
        <v>2</v>
      </c>
      <c r="E33" s="18">
        <v>2000</v>
      </c>
      <c r="F33" s="18">
        <v>1197</v>
      </c>
      <c r="G33" s="18">
        <f t="shared" si="0"/>
        <v>1197</v>
      </c>
      <c r="I33" s="110">
        <f t="shared" si="1"/>
        <v>-803</v>
      </c>
    </row>
    <row r="34" spans="1:9" ht="18">
      <c r="A34" s="19" t="s">
        <v>34</v>
      </c>
      <c r="B34" s="19"/>
      <c r="C34" s="19"/>
      <c r="D34" s="19"/>
      <c r="E34" s="16">
        <f>SUM(E19:E33)</f>
        <v>30500</v>
      </c>
      <c r="F34" s="16">
        <f>SUM(F19:F33)</f>
        <v>12608</v>
      </c>
      <c r="G34" s="16">
        <f>SUM(G19:G33)</f>
        <v>12608</v>
      </c>
      <c r="I34" s="109">
        <f>SUM(I19:I33)</f>
        <v>-17892</v>
      </c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1"/>
      <c r="B36" s="20"/>
      <c r="C36" s="20"/>
      <c r="D36" s="20"/>
      <c r="E36" s="20"/>
      <c r="F36" s="20"/>
      <c r="G36" s="100">
        <f>E34-G34</f>
        <v>17892</v>
      </c>
    </row>
    <row r="37" spans="1:7" ht="18">
      <c r="A37" s="21"/>
      <c r="B37" s="20"/>
      <c r="C37" s="20"/>
      <c r="D37" s="20"/>
      <c r="E37" s="20"/>
      <c r="F37" s="20"/>
      <c r="G37" s="20"/>
    </row>
    <row r="38" spans="1:7" ht="18">
      <c r="A38" s="20"/>
      <c r="B38" s="20"/>
      <c r="C38" s="20"/>
      <c r="D38" s="20"/>
      <c r="E38" s="20"/>
      <c r="F38" s="20"/>
      <c r="G38" s="20"/>
    </row>
    <row r="39" spans="1:7" ht="18">
      <c r="A39" s="20"/>
      <c r="B39" s="20"/>
      <c r="C39" s="20"/>
      <c r="D39" s="20"/>
      <c r="E39" s="20"/>
      <c r="F39" s="20"/>
      <c r="G39" s="100"/>
    </row>
    <row r="40" spans="1:7" ht="18">
      <c r="A40" s="20"/>
      <c r="B40" s="20"/>
      <c r="C40" s="20"/>
      <c r="D40" s="20"/>
      <c r="E40" s="20"/>
      <c r="F40" s="20"/>
      <c r="G40" s="20"/>
    </row>
    <row r="41" spans="1:7" ht="18">
      <c r="A41" s="20"/>
      <c r="B41" s="20"/>
      <c r="C41" s="20"/>
      <c r="D41" s="20"/>
      <c r="E41" s="20"/>
      <c r="F41" s="20"/>
      <c r="G41" s="20"/>
    </row>
    <row r="42" spans="1:7" ht="18">
      <c r="A42" s="20"/>
      <c r="B42" s="20"/>
      <c r="C42" s="20"/>
      <c r="D42" s="20"/>
      <c r="E42" s="20"/>
      <c r="F42" s="20"/>
      <c r="G42" s="20"/>
    </row>
  </sheetData>
  <sheetProtection/>
  <mergeCells count="13">
    <mergeCell ref="F14:F17"/>
    <mergeCell ref="E9:G9"/>
    <mergeCell ref="A10:G10"/>
    <mergeCell ref="A11:G11"/>
    <mergeCell ref="B12:E12"/>
    <mergeCell ref="F12:G12"/>
    <mergeCell ref="F13:G13"/>
    <mergeCell ref="A2:G2"/>
    <mergeCell ref="A3:G3"/>
    <mergeCell ref="A4:G4"/>
    <mergeCell ref="A5:G5"/>
    <mergeCell ref="E7:G7"/>
    <mergeCell ref="E8:G8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2">
      <selection activeCell="G36" sqref="G36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8" width="9.140625" style="1" customWidth="1"/>
    <col min="9" max="9" width="10.57421875" style="1" bestFit="1" customWidth="1"/>
    <col min="10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64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81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146"/>
      <c r="C13" s="148"/>
      <c r="D13" s="148"/>
      <c r="E13" s="147"/>
      <c r="F13" s="163" t="s">
        <v>68</v>
      </c>
      <c r="G13" s="164"/>
    </row>
    <row r="14" spans="1:7" ht="18">
      <c r="A14" s="8"/>
      <c r="B14" s="145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147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9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v>921</v>
      </c>
      <c r="G19" s="18">
        <f>F19</f>
        <v>921</v>
      </c>
      <c r="I19" s="110">
        <f>G19-E19</f>
        <v>-1079</v>
      </c>
    </row>
    <row r="20" spans="1:9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v>808</v>
      </c>
      <c r="G20" s="18">
        <f aca="true" t="shared" si="0" ref="G20:G33">F20</f>
        <v>808</v>
      </c>
      <c r="I20" s="110">
        <f aca="true" t="shared" si="1" ref="I20:I33">G20-E20</f>
        <v>-1192</v>
      </c>
    </row>
    <row r="21" spans="1:9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v>922</v>
      </c>
      <c r="G21" s="18">
        <f t="shared" si="0"/>
        <v>922</v>
      </c>
      <c r="I21" s="110">
        <f t="shared" si="1"/>
        <v>-1078</v>
      </c>
    </row>
    <row r="22" spans="1:9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v>878</v>
      </c>
      <c r="G22" s="18">
        <f t="shared" si="0"/>
        <v>878</v>
      </c>
      <c r="I22" s="110">
        <f t="shared" si="1"/>
        <v>-1122</v>
      </c>
    </row>
    <row r="23" spans="1:9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v>750</v>
      </c>
      <c r="G23" s="18">
        <f t="shared" si="0"/>
        <v>750</v>
      </c>
      <c r="I23" s="110">
        <f t="shared" si="1"/>
        <v>-1250</v>
      </c>
    </row>
    <row r="24" spans="1:9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v>489</v>
      </c>
      <c r="G24" s="18">
        <f t="shared" si="0"/>
        <v>489</v>
      </c>
      <c r="I24" s="110">
        <f t="shared" si="1"/>
        <v>-1511</v>
      </c>
    </row>
    <row r="25" spans="1:9" ht="18">
      <c r="A25" s="17">
        <v>7</v>
      </c>
      <c r="B25" s="17" t="s">
        <v>47</v>
      </c>
      <c r="C25" s="17" t="s">
        <v>33</v>
      </c>
      <c r="D25" s="18">
        <v>2</v>
      </c>
      <c r="E25" s="18">
        <f>1250*2</f>
        <v>2500</v>
      </c>
      <c r="F25" s="18">
        <v>1158</v>
      </c>
      <c r="G25" s="18">
        <f t="shared" si="0"/>
        <v>1158</v>
      </c>
      <c r="I25" s="110">
        <f t="shared" si="1"/>
        <v>-1342</v>
      </c>
    </row>
    <row r="26" spans="1:9" ht="18">
      <c r="A26" s="17">
        <v>8</v>
      </c>
      <c r="B26" s="17" t="s">
        <v>48</v>
      </c>
      <c r="C26" s="17" t="s">
        <v>33</v>
      </c>
      <c r="D26" s="18">
        <v>2</v>
      </c>
      <c r="E26" s="18">
        <f>1000*2</f>
        <v>2000</v>
      </c>
      <c r="F26" s="18">
        <v>784</v>
      </c>
      <c r="G26" s="18">
        <f t="shared" si="0"/>
        <v>784</v>
      </c>
      <c r="I26" s="110">
        <f t="shared" si="1"/>
        <v>-1216</v>
      </c>
    </row>
    <row r="27" spans="1:9" ht="18">
      <c r="A27" s="17">
        <v>9</v>
      </c>
      <c r="B27" s="17" t="s">
        <v>49</v>
      </c>
      <c r="C27" s="17" t="s">
        <v>33</v>
      </c>
      <c r="D27" s="18">
        <v>2</v>
      </c>
      <c r="E27" s="18">
        <f>1000*2</f>
        <v>2000</v>
      </c>
      <c r="F27" s="18">
        <v>653</v>
      </c>
      <c r="G27" s="18">
        <f>F27</f>
        <v>653</v>
      </c>
      <c r="I27" s="110">
        <f t="shared" si="1"/>
        <v>-1347</v>
      </c>
    </row>
    <row r="28" spans="1:9" ht="18">
      <c r="A28" s="17">
        <v>10</v>
      </c>
      <c r="B28" s="116" t="s">
        <v>61</v>
      </c>
      <c r="C28" s="17" t="s">
        <v>33</v>
      </c>
      <c r="D28" s="18">
        <v>2</v>
      </c>
      <c r="E28" s="18">
        <f>1000*2</f>
        <v>2000</v>
      </c>
      <c r="F28" s="18">
        <v>476</v>
      </c>
      <c r="G28" s="18">
        <f>F28</f>
        <v>476</v>
      </c>
      <c r="I28" s="110">
        <f t="shared" si="1"/>
        <v>-1524</v>
      </c>
    </row>
    <row r="29" spans="1:9" ht="18">
      <c r="A29" s="17">
        <v>11</v>
      </c>
      <c r="B29" s="116" t="s">
        <v>62</v>
      </c>
      <c r="C29" s="17" t="s">
        <v>33</v>
      </c>
      <c r="D29" s="18">
        <v>2</v>
      </c>
      <c r="E29" s="18">
        <f>1000*2</f>
        <v>2000</v>
      </c>
      <c r="F29" s="18">
        <v>1107</v>
      </c>
      <c r="G29" s="18">
        <f t="shared" si="0"/>
        <v>1107</v>
      </c>
      <c r="I29" s="110">
        <f t="shared" si="1"/>
        <v>-893</v>
      </c>
    </row>
    <row r="30" spans="1:9" ht="18">
      <c r="A30" s="17">
        <v>12</v>
      </c>
      <c r="B30" s="17" t="s">
        <v>63</v>
      </c>
      <c r="C30" s="17" t="s">
        <v>33</v>
      </c>
      <c r="D30" s="18">
        <v>2</v>
      </c>
      <c r="E30" s="18">
        <f>1000*2</f>
        <v>2000</v>
      </c>
      <c r="F30" s="18">
        <v>865</v>
      </c>
      <c r="G30" s="18">
        <f t="shared" si="0"/>
        <v>865</v>
      </c>
      <c r="I30" s="110">
        <f t="shared" si="1"/>
        <v>-1135</v>
      </c>
    </row>
    <row r="31" spans="1:9" ht="18">
      <c r="A31" s="17">
        <v>13</v>
      </c>
      <c r="B31" s="17" t="s">
        <v>76</v>
      </c>
      <c r="C31" s="17" t="s">
        <v>33</v>
      </c>
      <c r="D31" s="18">
        <v>2</v>
      </c>
      <c r="E31" s="18">
        <v>2000</v>
      </c>
      <c r="F31" s="18">
        <v>1096</v>
      </c>
      <c r="G31" s="18">
        <f t="shared" si="0"/>
        <v>1096</v>
      </c>
      <c r="I31" s="110">
        <f t="shared" si="1"/>
        <v>-904</v>
      </c>
    </row>
    <row r="32" spans="1:9" ht="18">
      <c r="A32" s="17">
        <v>14</v>
      </c>
      <c r="B32" s="17" t="s">
        <v>77</v>
      </c>
      <c r="C32" s="17" t="s">
        <v>33</v>
      </c>
      <c r="D32" s="18">
        <v>2</v>
      </c>
      <c r="E32" s="18">
        <v>2000</v>
      </c>
      <c r="F32" s="18">
        <v>504</v>
      </c>
      <c r="G32" s="18">
        <f t="shared" si="0"/>
        <v>504</v>
      </c>
      <c r="I32" s="110">
        <f t="shared" si="1"/>
        <v>-1496</v>
      </c>
    </row>
    <row r="33" spans="1:9" ht="18">
      <c r="A33" s="17">
        <v>15</v>
      </c>
      <c r="B33" s="17" t="s">
        <v>80</v>
      </c>
      <c r="C33" s="17" t="s">
        <v>33</v>
      </c>
      <c r="D33" s="18">
        <v>2</v>
      </c>
      <c r="E33" s="18">
        <v>2000</v>
      </c>
      <c r="F33" s="18">
        <v>1197</v>
      </c>
      <c r="G33" s="18">
        <f t="shared" si="0"/>
        <v>1197</v>
      </c>
      <c r="I33" s="110">
        <f t="shared" si="1"/>
        <v>-803</v>
      </c>
    </row>
    <row r="34" spans="1:9" ht="18">
      <c r="A34" s="19" t="s">
        <v>34</v>
      </c>
      <c r="B34" s="19"/>
      <c r="C34" s="19"/>
      <c r="D34" s="19"/>
      <c r="E34" s="16">
        <f>SUM(E19:E33)</f>
        <v>30500</v>
      </c>
      <c r="F34" s="16">
        <f>SUM(F19:F33)</f>
        <v>12608</v>
      </c>
      <c r="G34" s="16">
        <f>SUM(G19:G33)</f>
        <v>12608</v>
      </c>
      <c r="I34" s="109">
        <f>SUM(I19:I33)</f>
        <v>-17892</v>
      </c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1"/>
      <c r="B36" s="20"/>
      <c r="C36" s="20"/>
      <c r="D36" s="20"/>
      <c r="E36" s="20"/>
      <c r="F36" s="20"/>
      <c r="G36" s="100">
        <f>E34-G34</f>
        <v>17892</v>
      </c>
    </row>
    <row r="37" spans="1:7" ht="18">
      <c r="A37" s="21"/>
      <c r="B37" s="20"/>
      <c r="C37" s="20"/>
      <c r="D37" s="20"/>
      <c r="E37" s="20"/>
      <c r="F37" s="20"/>
      <c r="G37" s="20"/>
    </row>
    <row r="38" spans="1:7" ht="18">
      <c r="A38" s="20"/>
      <c r="B38" s="20"/>
      <c r="C38" s="20"/>
      <c r="D38" s="20"/>
      <c r="E38" s="20"/>
      <c r="F38" s="20"/>
      <c r="G38" s="20"/>
    </row>
    <row r="39" spans="1:7" ht="18">
      <c r="A39" s="20"/>
      <c r="B39" s="20"/>
      <c r="C39" s="20"/>
      <c r="D39" s="20"/>
      <c r="E39" s="20"/>
      <c r="F39" s="20"/>
      <c r="G39" s="100"/>
    </row>
    <row r="40" spans="1:7" ht="18">
      <c r="A40" s="20"/>
      <c r="B40" s="20"/>
      <c r="C40" s="20"/>
      <c r="D40" s="20"/>
      <c r="E40" s="20"/>
      <c r="F40" s="20"/>
      <c r="G40" s="20"/>
    </row>
    <row r="41" spans="1:7" ht="18">
      <c r="A41" s="20"/>
      <c r="B41" s="20"/>
      <c r="C41" s="20"/>
      <c r="D41" s="20"/>
      <c r="E41" s="20"/>
      <c r="F41" s="20"/>
      <c r="G41" s="20"/>
    </row>
    <row r="42" spans="1:7" ht="18">
      <c r="A42" s="20"/>
      <c r="B42" s="20"/>
      <c r="C42" s="20"/>
      <c r="D42" s="20"/>
      <c r="E42" s="20"/>
      <c r="F42" s="20"/>
      <c r="G42" s="20"/>
    </row>
  </sheetData>
  <sheetProtection/>
  <mergeCells count="13">
    <mergeCell ref="F14:F17"/>
    <mergeCell ref="E9:G9"/>
    <mergeCell ref="A10:G10"/>
    <mergeCell ref="A11:G11"/>
    <mergeCell ref="B12:E12"/>
    <mergeCell ref="F12:G12"/>
    <mergeCell ref="F13:G13"/>
    <mergeCell ref="A2:G2"/>
    <mergeCell ref="A3:G3"/>
    <mergeCell ref="A4:G4"/>
    <mergeCell ref="A5:G5"/>
    <mergeCell ref="E7:G7"/>
    <mergeCell ref="E8:G8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9">
      <selection activeCell="A12" sqref="A12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8" width="9.140625" style="1" customWidth="1"/>
    <col min="9" max="9" width="10.57421875" style="1" bestFit="1" customWidth="1"/>
    <col min="10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64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82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146"/>
      <c r="C13" s="148"/>
      <c r="D13" s="148"/>
      <c r="E13" s="147"/>
      <c r="F13" s="163" t="s">
        <v>68</v>
      </c>
      <c r="G13" s="164"/>
    </row>
    <row r="14" spans="1:7" ht="18">
      <c r="A14" s="8"/>
      <c r="B14" s="145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147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9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v>921</v>
      </c>
      <c r="G19" s="18">
        <f>F19</f>
        <v>921</v>
      </c>
      <c r="I19" s="110">
        <f>G19-E19</f>
        <v>-1079</v>
      </c>
    </row>
    <row r="20" spans="1:9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v>808</v>
      </c>
      <c r="G20" s="18">
        <f aca="true" t="shared" si="0" ref="G20:G33">F20</f>
        <v>808</v>
      </c>
      <c r="I20" s="110">
        <f aca="true" t="shared" si="1" ref="I20:I33">G20-E20</f>
        <v>-1192</v>
      </c>
    </row>
    <row r="21" spans="1:9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v>922</v>
      </c>
      <c r="G21" s="18">
        <f t="shared" si="0"/>
        <v>922</v>
      </c>
      <c r="I21" s="110">
        <f t="shared" si="1"/>
        <v>-1078</v>
      </c>
    </row>
    <row r="22" spans="1:9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v>878</v>
      </c>
      <c r="G22" s="18">
        <f t="shared" si="0"/>
        <v>878</v>
      </c>
      <c r="I22" s="110">
        <f t="shared" si="1"/>
        <v>-1122</v>
      </c>
    </row>
    <row r="23" spans="1:9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v>750</v>
      </c>
      <c r="G23" s="18">
        <f t="shared" si="0"/>
        <v>750</v>
      </c>
      <c r="I23" s="110">
        <f t="shared" si="1"/>
        <v>-1250</v>
      </c>
    </row>
    <row r="24" spans="1:9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v>489</v>
      </c>
      <c r="G24" s="18">
        <f t="shared" si="0"/>
        <v>489</v>
      </c>
      <c r="I24" s="110">
        <f t="shared" si="1"/>
        <v>-1511</v>
      </c>
    </row>
    <row r="25" spans="1:9" ht="18">
      <c r="A25" s="17">
        <v>7</v>
      </c>
      <c r="B25" s="17" t="s">
        <v>47</v>
      </c>
      <c r="C25" s="17" t="s">
        <v>33</v>
      </c>
      <c r="D25" s="18">
        <v>2</v>
      </c>
      <c r="E25" s="18">
        <f>1250*2</f>
        <v>2500</v>
      </c>
      <c r="F25" s="18">
        <v>1158</v>
      </c>
      <c r="G25" s="18">
        <f t="shared" si="0"/>
        <v>1158</v>
      </c>
      <c r="I25" s="110">
        <f t="shared" si="1"/>
        <v>-1342</v>
      </c>
    </row>
    <row r="26" spans="1:9" ht="18">
      <c r="A26" s="17">
        <v>8</v>
      </c>
      <c r="B26" s="17" t="s">
        <v>48</v>
      </c>
      <c r="C26" s="17" t="s">
        <v>33</v>
      </c>
      <c r="D26" s="18">
        <v>2</v>
      </c>
      <c r="E26" s="18">
        <f>1000*2</f>
        <v>2000</v>
      </c>
      <c r="F26" s="18">
        <v>784</v>
      </c>
      <c r="G26" s="18">
        <f t="shared" si="0"/>
        <v>784</v>
      </c>
      <c r="I26" s="110">
        <f t="shared" si="1"/>
        <v>-1216</v>
      </c>
    </row>
    <row r="27" spans="1:9" ht="18">
      <c r="A27" s="17">
        <v>9</v>
      </c>
      <c r="B27" s="17" t="s">
        <v>49</v>
      </c>
      <c r="C27" s="17" t="s">
        <v>33</v>
      </c>
      <c r="D27" s="18">
        <v>2</v>
      </c>
      <c r="E27" s="18">
        <f>1000*2</f>
        <v>2000</v>
      </c>
      <c r="F27" s="18">
        <v>653</v>
      </c>
      <c r="G27" s="18">
        <f>F27</f>
        <v>653</v>
      </c>
      <c r="I27" s="110">
        <f t="shared" si="1"/>
        <v>-1347</v>
      </c>
    </row>
    <row r="28" spans="1:9" ht="18">
      <c r="A28" s="17">
        <v>10</v>
      </c>
      <c r="B28" s="116" t="s">
        <v>61</v>
      </c>
      <c r="C28" s="17" t="s">
        <v>33</v>
      </c>
      <c r="D28" s="18">
        <v>2</v>
      </c>
      <c r="E28" s="18">
        <f>1000*2</f>
        <v>2000</v>
      </c>
      <c r="F28" s="18">
        <v>476</v>
      </c>
      <c r="G28" s="18">
        <f>F28</f>
        <v>476</v>
      </c>
      <c r="I28" s="110">
        <f t="shared" si="1"/>
        <v>-1524</v>
      </c>
    </row>
    <row r="29" spans="1:9" ht="18">
      <c r="A29" s="17">
        <v>11</v>
      </c>
      <c r="B29" s="116" t="s">
        <v>62</v>
      </c>
      <c r="C29" s="17" t="s">
        <v>33</v>
      </c>
      <c r="D29" s="18">
        <v>2</v>
      </c>
      <c r="E29" s="18">
        <f>1000*2</f>
        <v>2000</v>
      </c>
      <c r="F29" s="18">
        <v>1107</v>
      </c>
      <c r="G29" s="18">
        <f t="shared" si="0"/>
        <v>1107</v>
      </c>
      <c r="I29" s="110">
        <f t="shared" si="1"/>
        <v>-893</v>
      </c>
    </row>
    <row r="30" spans="1:9" ht="18">
      <c r="A30" s="17">
        <v>12</v>
      </c>
      <c r="B30" s="17" t="s">
        <v>63</v>
      </c>
      <c r="C30" s="17" t="s">
        <v>33</v>
      </c>
      <c r="D30" s="18">
        <v>2</v>
      </c>
      <c r="E30" s="18">
        <f>1000*2</f>
        <v>2000</v>
      </c>
      <c r="F30" s="18">
        <v>865</v>
      </c>
      <c r="G30" s="18">
        <f t="shared" si="0"/>
        <v>865</v>
      </c>
      <c r="I30" s="110">
        <f t="shared" si="1"/>
        <v>-1135</v>
      </c>
    </row>
    <row r="31" spans="1:9" ht="18">
      <c r="A31" s="17">
        <v>13</v>
      </c>
      <c r="B31" s="17" t="s">
        <v>76</v>
      </c>
      <c r="C31" s="17" t="s">
        <v>33</v>
      </c>
      <c r="D31" s="18">
        <v>2</v>
      </c>
      <c r="E31" s="18">
        <v>2000</v>
      </c>
      <c r="F31" s="18">
        <v>1096</v>
      </c>
      <c r="G31" s="18">
        <f t="shared" si="0"/>
        <v>1096</v>
      </c>
      <c r="I31" s="110">
        <f t="shared" si="1"/>
        <v>-904</v>
      </c>
    </row>
    <row r="32" spans="1:9" ht="18">
      <c r="A32" s="17">
        <v>14</v>
      </c>
      <c r="B32" s="17" t="s">
        <v>77</v>
      </c>
      <c r="C32" s="17" t="s">
        <v>33</v>
      </c>
      <c r="D32" s="18">
        <v>2</v>
      </c>
      <c r="E32" s="18">
        <v>2000</v>
      </c>
      <c r="F32" s="18">
        <v>504</v>
      </c>
      <c r="G32" s="18">
        <f t="shared" si="0"/>
        <v>504</v>
      </c>
      <c r="I32" s="110">
        <f t="shared" si="1"/>
        <v>-1496</v>
      </c>
    </row>
    <row r="33" spans="1:9" ht="18">
      <c r="A33" s="17">
        <v>15</v>
      </c>
      <c r="B33" s="17" t="s">
        <v>80</v>
      </c>
      <c r="C33" s="17" t="s">
        <v>33</v>
      </c>
      <c r="D33" s="18">
        <v>2</v>
      </c>
      <c r="E33" s="18">
        <v>2000</v>
      </c>
      <c r="F33" s="18">
        <v>1197</v>
      </c>
      <c r="G33" s="18">
        <f t="shared" si="0"/>
        <v>1197</v>
      </c>
      <c r="I33" s="110">
        <f t="shared" si="1"/>
        <v>-803</v>
      </c>
    </row>
    <row r="34" spans="1:9" ht="18">
      <c r="A34" s="19" t="s">
        <v>34</v>
      </c>
      <c r="B34" s="19"/>
      <c r="C34" s="19"/>
      <c r="D34" s="19"/>
      <c r="E34" s="16">
        <f>SUM(E19:E33)</f>
        <v>30500</v>
      </c>
      <c r="F34" s="16">
        <f>SUM(F19:F33)</f>
        <v>12608</v>
      </c>
      <c r="G34" s="16">
        <f>SUM(G19:G33)</f>
        <v>12608</v>
      </c>
      <c r="I34" s="109">
        <f>SUM(I19:I33)</f>
        <v>-17892</v>
      </c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1"/>
      <c r="B36" s="20"/>
      <c r="C36" s="20"/>
      <c r="D36" s="20"/>
      <c r="E36" s="20"/>
      <c r="F36" s="20"/>
      <c r="G36" s="100">
        <f>E34-G34</f>
        <v>17892</v>
      </c>
    </row>
    <row r="37" spans="1:7" ht="18">
      <c r="A37" s="21"/>
      <c r="B37" s="20"/>
      <c r="C37" s="20"/>
      <c r="D37" s="20"/>
      <c r="E37" s="20"/>
      <c r="F37" s="20"/>
      <c r="G37" s="20"/>
    </row>
    <row r="38" spans="1:7" ht="18">
      <c r="A38" s="20"/>
      <c r="B38" s="20"/>
      <c r="C38" s="20"/>
      <c r="D38" s="20"/>
      <c r="E38" s="20"/>
      <c r="F38" s="20"/>
      <c r="G38" s="20"/>
    </row>
    <row r="39" spans="1:7" ht="18">
      <c r="A39" s="20"/>
      <c r="B39" s="20"/>
      <c r="C39" s="20"/>
      <c r="D39" s="20"/>
      <c r="E39" s="20"/>
      <c r="F39" s="20"/>
      <c r="G39" s="100"/>
    </row>
    <row r="40" spans="1:7" ht="18">
      <c r="A40" s="20"/>
      <c r="B40" s="20"/>
      <c r="C40" s="20"/>
      <c r="D40" s="20"/>
      <c r="E40" s="20"/>
      <c r="F40" s="20"/>
      <c r="G40" s="20"/>
    </row>
    <row r="41" spans="1:7" ht="18">
      <c r="A41" s="20"/>
      <c r="B41" s="20"/>
      <c r="C41" s="20"/>
      <c r="D41" s="20"/>
      <c r="E41" s="20"/>
      <c r="F41" s="20"/>
      <c r="G41" s="20"/>
    </row>
    <row r="42" spans="1:7" ht="18">
      <c r="A42" s="20"/>
      <c r="B42" s="20"/>
      <c r="C42" s="20"/>
      <c r="D42" s="20"/>
      <c r="E42" s="20"/>
      <c r="F42" s="20"/>
      <c r="G42" s="20"/>
    </row>
  </sheetData>
  <sheetProtection/>
  <mergeCells count="13">
    <mergeCell ref="F14:F17"/>
    <mergeCell ref="E9:G9"/>
    <mergeCell ref="A10:G10"/>
    <mergeCell ref="A11:G11"/>
    <mergeCell ref="B12:E12"/>
    <mergeCell ref="F12:G12"/>
    <mergeCell ref="F13:G13"/>
    <mergeCell ref="A2:G2"/>
    <mergeCell ref="A3:G3"/>
    <mergeCell ref="A4:G4"/>
    <mergeCell ref="A5:G5"/>
    <mergeCell ref="E7:G7"/>
    <mergeCell ref="E8:G8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34">
      <selection activeCell="G42" sqref="G42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8" width="9.140625" style="1" customWidth="1"/>
    <col min="9" max="9" width="10.57421875" style="1" bestFit="1" customWidth="1"/>
    <col min="10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64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83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150"/>
      <c r="C13" s="152"/>
      <c r="D13" s="152"/>
      <c r="E13" s="151"/>
      <c r="F13" s="163" t="s">
        <v>68</v>
      </c>
      <c r="G13" s="164"/>
    </row>
    <row r="14" spans="1:7" ht="18">
      <c r="A14" s="8"/>
      <c r="B14" s="149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151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9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v>921</v>
      </c>
      <c r="G19" s="18">
        <f>F19</f>
        <v>921</v>
      </c>
      <c r="I19" s="110"/>
    </row>
    <row r="20" spans="1:9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v>808</v>
      </c>
      <c r="G20" s="18">
        <f aca="true" t="shared" si="0" ref="G20:G33">F20</f>
        <v>808</v>
      </c>
      <c r="I20" s="110"/>
    </row>
    <row r="21" spans="1:9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v>922</v>
      </c>
      <c r="G21" s="18">
        <f t="shared" si="0"/>
        <v>922</v>
      </c>
      <c r="I21" s="110"/>
    </row>
    <row r="22" spans="1:9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v>878</v>
      </c>
      <c r="G22" s="18">
        <f t="shared" si="0"/>
        <v>878</v>
      </c>
      <c r="I22" s="110"/>
    </row>
    <row r="23" spans="1:9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v>750</v>
      </c>
      <c r="G23" s="18">
        <f t="shared" si="0"/>
        <v>750</v>
      </c>
      <c r="I23" s="110"/>
    </row>
    <row r="24" spans="1:9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v>489</v>
      </c>
      <c r="G24" s="18">
        <f t="shared" si="0"/>
        <v>489</v>
      </c>
      <c r="I24" s="110"/>
    </row>
    <row r="25" spans="1:9" ht="18">
      <c r="A25" s="17">
        <v>7</v>
      </c>
      <c r="B25" s="17" t="s">
        <v>47</v>
      </c>
      <c r="C25" s="17" t="s">
        <v>33</v>
      </c>
      <c r="D25" s="18">
        <v>2</v>
      </c>
      <c r="E25" s="18">
        <f>1250*2</f>
        <v>2500</v>
      </c>
      <c r="F25" s="18">
        <v>1158</v>
      </c>
      <c r="G25" s="18">
        <f t="shared" si="0"/>
        <v>1158</v>
      </c>
      <c r="I25" s="110"/>
    </row>
    <row r="26" spans="1:9" ht="18">
      <c r="A26" s="17">
        <v>8</v>
      </c>
      <c r="B26" s="17" t="s">
        <v>48</v>
      </c>
      <c r="C26" s="17" t="s">
        <v>33</v>
      </c>
      <c r="D26" s="18">
        <v>2</v>
      </c>
      <c r="E26" s="18">
        <f>1000*2</f>
        <v>2000</v>
      </c>
      <c r="F26" s="18">
        <v>784</v>
      </c>
      <c r="G26" s="18">
        <f t="shared" si="0"/>
        <v>784</v>
      </c>
      <c r="I26" s="110"/>
    </row>
    <row r="27" spans="1:9" ht="18">
      <c r="A27" s="17">
        <v>9</v>
      </c>
      <c r="B27" s="17" t="s">
        <v>49</v>
      </c>
      <c r="C27" s="17" t="s">
        <v>33</v>
      </c>
      <c r="D27" s="18">
        <v>2</v>
      </c>
      <c r="E27" s="18">
        <f>1000*2</f>
        <v>2000</v>
      </c>
      <c r="F27" s="18">
        <v>653</v>
      </c>
      <c r="G27" s="18">
        <f>F27</f>
        <v>653</v>
      </c>
      <c r="I27" s="110"/>
    </row>
    <row r="28" spans="1:9" ht="18">
      <c r="A28" s="17">
        <v>10</v>
      </c>
      <c r="B28" s="116" t="s">
        <v>61</v>
      </c>
      <c r="C28" s="17" t="s">
        <v>33</v>
      </c>
      <c r="D28" s="18">
        <v>2</v>
      </c>
      <c r="E28" s="18">
        <f>1000*2</f>
        <v>2000</v>
      </c>
      <c r="F28" s="18">
        <v>476</v>
      </c>
      <c r="G28" s="18">
        <f>F28</f>
        <v>476</v>
      </c>
      <c r="I28" s="110"/>
    </row>
    <row r="29" spans="1:9" ht="18">
      <c r="A29" s="17">
        <v>11</v>
      </c>
      <c r="B29" s="116" t="s">
        <v>62</v>
      </c>
      <c r="C29" s="17" t="s">
        <v>33</v>
      </c>
      <c r="D29" s="18">
        <v>2</v>
      </c>
      <c r="E29" s="18">
        <f>1000*2</f>
        <v>2000</v>
      </c>
      <c r="F29" s="18">
        <v>1107</v>
      </c>
      <c r="G29" s="18">
        <f t="shared" si="0"/>
        <v>1107</v>
      </c>
      <c r="I29" s="110"/>
    </row>
    <row r="30" spans="1:9" ht="18">
      <c r="A30" s="17">
        <v>12</v>
      </c>
      <c r="B30" s="17" t="s">
        <v>63</v>
      </c>
      <c r="C30" s="17" t="s">
        <v>33</v>
      </c>
      <c r="D30" s="18">
        <v>2</v>
      </c>
      <c r="E30" s="18">
        <f>1000*2</f>
        <v>2000</v>
      </c>
      <c r="F30" s="18">
        <v>865</v>
      </c>
      <c r="G30" s="18">
        <f t="shared" si="0"/>
        <v>865</v>
      </c>
      <c r="I30" s="110"/>
    </row>
    <row r="31" spans="1:9" ht="18">
      <c r="A31" s="17">
        <v>13</v>
      </c>
      <c r="B31" s="17" t="s">
        <v>76</v>
      </c>
      <c r="C31" s="17" t="s">
        <v>33</v>
      </c>
      <c r="D31" s="18">
        <v>2</v>
      </c>
      <c r="E31" s="18">
        <v>2000</v>
      </c>
      <c r="F31" s="18">
        <v>1096</v>
      </c>
      <c r="G31" s="18">
        <f t="shared" si="0"/>
        <v>1096</v>
      </c>
      <c r="I31" s="110"/>
    </row>
    <row r="32" spans="1:9" ht="18">
      <c r="A32" s="17">
        <v>14</v>
      </c>
      <c r="B32" s="17" t="s">
        <v>77</v>
      </c>
      <c r="C32" s="17" t="s">
        <v>33</v>
      </c>
      <c r="D32" s="18">
        <v>2</v>
      </c>
      <c r="E32" s="18">
        <v>2000</v>
      </c>
      <c r="F32" s="18">
        <v>504</v>
      </c>
      <c r="G32" s="18">
        <f t="shared" si="0"/>
        <v>504</v>
      </c>
      <c r="I32" s="110"/>
    </row>
    <row r="33" spans="1:9" ht="18">
      <c r="A33" s="17">
        <v>15</v>
      </c>
      <c r="B33" s="17" t="s">
        <v>80</v>
      </c>
      <c r="C33" s="17" t="s">
        <v>33</v>
      </c>
      <c r="D33" s="18">
        <v>2</v>
      </c>
      <c r="E33" s="18">
        <v>2000</v>
      </c>
      <c r="F33" s="18">
        <v>1197</v>
      </c>
      <c r="G33" s="18">
        <f t="shared" si="0"/>
        <v>1197</v>
      </c>
      <c r="I33" s="110"/>
    </row>
    <row r="34" spans="1:9" ht="18">
      <c r="A34" s="17">
        <v>16</v>
      </c>
      <c r="B34" s="17" t="s">
        <v>84</v>
      </c>
      <c r="C34" s="17" t="s">
        <v>33</v>
      </c>
      <c r="D34" s="18">
        <v>2</v>
      </c>
      <c r="E34" s="18">
        <v>2000</v>
      </c>
      <c r="F34" s="170">
        <v>1151.83</v>
      </c>
      <c r="G34" s="170">
        <v>1151.83</v>
      </c>
      <c r="I34" s="110"/>
    </row>
    <row r="35" spans="1:9" ht="18">
      <c r="A35" s="17">
        <v>17</v>
      </c>
      <c r="B35" s="17" t="s">
        <v>85</v>
      </c>
      <c r="C35" s="17" t="s">
        <v>33</v>
      </c>
      <c r="D35" s="18">
        <v>2</v>
      </c>
      <c r="E35" s="18">
        <v>2000</v>
      </c>
      <c r="F35" s="170">
        <v>962.53</v>
      </c>
      <c r="G35" s="170">
        <v>962.53</v>
      </c>
      <c r="I35" s="110"/>
    </row>
    <row r="36" spans="1:9" ht="18">
      <c r="A36" s="19" t="s">
        <v>34</v>
      </c>
      <c r="B36" s="19"/>
      <c r="C36" s="19"/>
      <c r="D36" s="19"/>
      <c r="E36" s="16">
        <f>SUM(E19:E33)</f>
        <v>30500</v>
      </c>
      <c r="F36" s="171">
        <f>SUM(F19:F35)</f>
        <v>14722.36</v>
      </c>
      <c r="G36" s="171">
        <f>SUM(G19:G35)</f>
        <v>14722.36</v>
      </c>
      <c r="I36" s="109"/>
    </row>
    <row r="37" spans="1:7" ht="18">
      <c r="A37" s="20"/>
      <c r="B37" s="20"/>
      <c r="C37" s="20"/>
      <c r="D37" s="20"/>
      <c r="E37" s="20"/>
      <c r="F37" s="20"/>
      <c r="G37" s="20"/>
    </row>
    <row r="38" spans="1:7" ht="18">
      <c r="A38" s="21"/>
      <c r="B38" s="20"/>
      <c r="C38" s="20"/>
      <c r="D38" s="20"/>
      <c r="E38" s="20"/>
      <c r="F38" s="20"/>
      <c r="G38" s="100"/>
    </row>
    <row r="39" spans="1:7" ht="18">
      <c r="A39" s="21"/>
      <c r="B39" s="20"/>
      <c r="C39" s="20"/>
      <c r="D39" s="20"/>
      <c r="E39" s="20"/>
      <c r="F39" s="20"/>
      <c r="G39" s="20"/>
    </row>
    <row r="40" spans="1:7" ht="18">
      <c r="A40" s="20"/>
      <c r="B40" s="20"/>
      <c r="C40" s="20"/>
      <c r="D40" s="20"/>
      <c r="E40" s="20"/>
      <c r="F40" s="20"/>
      <c r="G40" s="20"/>
    </row>
    <row r="41" spans="1:7" ht="18">
      <c r="A41" s="20"/>
      <c r="B41" s="20"/>
      <c r="C41" s="20"/>
      <c r="D41" s="20"/>
      <c r="E41" s="20"/>
      <c r="F41" s="20"/>
      <c r="G41" s="100"/>
    </row>
    <row r="42" spans="1:7" ht="18">
      <c r="A42" s="20"/>
      <c r="B42" s="20"/>
      <c r="C42" s="20"/>
      <c r="D42" s="20"/>
      <c r="E42" s="20"/>
      <c r="F42" s="20"/>
      <c r="G42" s="20"/>
    </row>
    <row r="43" spans="1:7" ht="18">
      <c r="A43" s="20"/>
      <c r="B43" s="20"/>
      <c r="C43" s="20"/>
      <c r="D43" s="20"/>
      <c r="E43" s="20"/>
      <c r="F43" s="20"/>
      <c r="G43" s="20"/>
    </row>
    <row r="44" spans="1:7" ht="18">
      <c r="A44" s="20"/>
      <c r="B44" s="20"/>
      <c r="C44" s="20"/>
      <c r="D44" s="20"/>
      <c r="E44" s="20"/>
      <c r="F44" s="20"/>
      <c r="G44" s="20"/>
    </row>
  </sheetData>
  <sheetProtection/>
  <mergeCells count="13">
    <mergeCell ref="A2:G2"/>
    <mergeCell ref="A3:G3"/>
    <mergeCell ref="A4:G4"/>
    <mergeCell ref="A5:G5"/>
    <mergeCell ref="E7:G7"/>
    <mergeCell ref="E8:G8"/>
    <mergeCell ref="F14:F17"/>
    <mergeCell ref="E9:G9"/>
    <mergeCell ref="A10:G10"/>
    <mergeCell ref="A11:G11"/>
    <mergeCell ref="B12:E12"/>
    <mergeCell ref="F12:G12"/>
    <mergeCell ref="F13:G13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7">
      <selection activeCell="F54" sqref="F54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8" width="9.140625" style="1" customWidth="1"/>
    <col min="9" max="9" width="10.57421875" style="1" bestFit="1" customWidth="1"/>
    <col min="10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64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83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154"/>
      <c r="C13" s="156"/>
      <c r="D13" s="156"/>
      <c r="E13" s="155"/>
      <c r="F13" s="163" t="s">
        <v>68</v>
      </c>
      <c r="G13" s="164"/>
    </row>
    <row r="14" spans="1:7" ht="18">
      <c r="A14" s="8"/>
      <c r="B14" s="153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155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9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v>921</v>
      </c>
      <c r="G19" s="18">
        <f>F19</f>
        <v>921</v>
      </c>
      <c r="I19" s="110"/>
    </row>
    <row r="20" spans="1:9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v>808</v>
      </c>
      <c r="G20" s="18">
        <f aca="true" t="shared" si="0" ref="G20:G33">F20</f>
        <v>808</v>
      </c>
      <c r="I20" s="110"/>
    </row>
    <row r="21" spans="1:9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v>922</v>
      </c>
      <c r="G21" s="18">
        <f t="shared" si="0"/>
        <v>922</v>
      </c>
      <c r="I21" s="110"/>
    </row>
    <row r="22" spans="1:9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v>878</v>
      </c>
      <c r="G22" s="18">
        <f t="shared" si="0"/>
        <v>878</v>
      </c>
      <c r="I22" s="110"/>
    </row>
    <row r="23" spans="1:9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v>750</v>
      </c>
      <c r="G23" s="18">
        <f t="shared" si="0"/>
        <v>750</v>
      </c>
      <c r="I23" s="110"/>
    </row>
    <row r="24" spans="1:9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v>489</v>
      </c>
      <c r="G24" s="18">
        <f t="shared" si="0"/>
        <v>489</v>
      </c>
      <c r="I24" s="110"/>
    </row>
    <row r="25" spans="1:9" ht="18">
      <c r="A25" s="17">
        <v>7</v>
      </c>
      <c r="B25" s="17" t="s">
        <v>47</v>
      </c>
      <c r="C25" s="17" t="s">
        <v>33</v>
      </c>
      <c r="D25" s="18">
        <v>2</v>
      </c>
      <c r="E25" s="18">
        <f>1250*2</f>
        <v>2500</v>
      </c>
      <c r="F25" s="18">
        <v>1158</v>
      </c>
      <c r="G25" s="18">
        <f t="shared" si="0"/>
        <v>1158</v>
      </c>
      <c r="I25" s="110"/>
    </row>
    <row r="26" spans="1:9" ht="18">
      <c r="A26" s="17">
        <v>8</v>
      </c>
      <c r="B26" s="17" t="s">
        <v>48</v>
      </c>
      <c r="C26" s="17" t="s">
        <v>33</v>
      </c>
      <c r="D26" s="18">
        <v>2</v>
      </c>
      <c r="E26" s="18">
        <f>1000*2</f>
        <v>2000</v>
      </c>
      <c r="F26" s="18">
        <v>784</v>
      </c>
      <c r="G26" s="18">
        <f t="shared" si="0"/>
        <v>784</v>
      </c>
      <c r="I26" s="110"/>
    </row>
    <row r="27" spans="1:9" ht="18">
      <c r="A27" s="17">
        <v>9</v>
      </c>
      <c r="B27" s="17" t="s">
        <v>49</v>
      </c>
      <c r="C27" s="17" t="s">
        <v>33</v>
      </c>
      <c r="D27" s="18">
        <v>2</v>
      </c>
      <c r="E27" s="18">
        <f>1000*2</f>
        <v>2000</v>
      </c>
      <c r="F27" s="18">
        <v>653</v>
      </c>
      <c r="G27" s="18">
        <f>F27</f>
        <v>653</v>
      </c>
      <c r="I27" s="110"/>
    </row>
    <row r="28" spans="1:9" ht="18">
      <c r="A28" s="17">
        <v>10</v>
      </c>
      <c r="B28" s="116" t="s">
        <v>61</v>
      </c>
      <c r="C28" s="17" t="s">
        <v>33</v>
      </c>
      <c r="D28" s="18">
        <v>2</v>
      </c>
      <c r="E28" s="18">
        <f>1000*2</f>
        <v>2000</v>
      </c>
      <c r="F28" s="18">
        <v>476</v>
      </c>
      <c r="G28" s="18">
        <f>F28</f>
        <v>476</v>
      </c>
      <c r="I28" s="110"/>
    </row>
    <row r="29" spans="1:9" ht="18">
      <c r="A29" s="17">
        <v>11</v>
      </c>
      <c r="B29" s="116" t="s">
        <v>62</v>
      </c>
      <c r="C29" s="17" t="s">
        <v>33</v>
      </c>
      <c r="D29" s="18">
        <v>2</v>
      </c>
      <c r="E29" s="18">
        <f>1000*2</f>
        <v>2000</v>
      </c>
      <c r="F29" s="18">
        <v>1107</v>
      </c>
      <c r="G29" s="18">
        <f t="shared" si="0"/>
        <v>1107</v>
      </c>
      <c r="I29" s="110"/>
    </row>
    <row r="30" spans="1:9" ht="18">
      <c r="A30" s="17">
        <v>12</v>
      </c>
      <c r="B30" s="17" t="s">
        <v>63</v>
      </c>
      <c r="C30" s="17" t="s">
        <v>33</v>
      </c>
      <c r="D30" s="18">
        <v>2</v>
      </c>
      <c r="E30" s="18">
        <f>1000*2</f>
        <v>2000</v>
      </c>
      <c r="F30" s="18">
        <v>865</v>
      </c>
      <c r="G30" s="18">
        <f t="shared" si="0"/>
        <v>865</v>
      </c>
      <c r="I30" s="110"/>
    </row>
    <row r="31" spans="1:9" ht="18">
      <c r="A31" s="17">
        <v>13</v>
      </c>
      <c r="B31" s="17" t="s">
        <v>76</v>
      </c>
      <c r="C31" s="17" t="s">
        <v>33</v>
      </c>
      <c r="D31" s="18">
        <v>2</v>
      </c>
      <c r="E31" s="18">
        <v>2000</v>
      </c>
      <c r="F31" s="18">
        <v>1096</v>
      </c>
      <c r="G31" s="18">
        <f t="shared" si="0"/>
        <v>1096</v>
      </c>
      <c r="I31" s="110"/>
    </row>
    <row r="32" spans="1:9" ht="18">
      <c r="A32" s="17">
        <v>14</v>
      </c>
      <c r="B32" s="17" t="s">
        <v>77</v>
      </c>
      <c r="C32" s="17" t="s">
        <v>33</v>
      </c>
      <c r="D32" s="18">
        <v>2</v>
      </c>
      <c r="E32" s="18">
        <v>2000</v>
      </c>
      <c r="F32" s="18">
        <v>504</v>
      </c>
      <c r="G32" s="18">
        <f t="shared" si="0"/>
        <v>504</v>
      </c>
      <c r="I32" s="110"/>
    </row>
    <row r="33" spans="1:9" ht="18">
      <c r="A33" s="17">
        <v>15</v>
      </c>
      <c r="B33" s="17" t="s">
        <v>80</v>
      </c>
      <c r="C33" s="17" t="s">
        <v>33</v>
      </c>
      <c r="D33" s="18">
        <v>2</v>
      </c>
      <c r="E33" s="18">
        <v>2000</v>
      </c>
      <c r="F33" s="18">
        <v>1197</v>
      </c>
      <c r="G33" s="18">
        <f t="shared" si="0"/>
        <v>1197</v>
      </c>
      <c r="I33" s="110"/>
    </row>
    <row r="34" spans="1:9" ht="18">
      <c r="A34" s="17">
        <v>16</v>
      </c>
      <c r="B34" s="17" t="s">
        <v>84</v>
      </c>
      <c r="C34" s="17" t="s">
        <v>33</v>
      </c>
      <c r="D34" s="18">
        <v>2</v>
      </c>
      <c r="E34" s="18">
        <v>2000</v>
      </c>
      <c r="F34" s="170">
        <v>1151.83</v>
      </c>
      <c r="G34" s="170">
        <v>1151.83</v>
      </c>
      <c r="I34" s="110"/>
    </row>
    <row r="35" spans="1:9" ht="18">
      <c r="A35" s="17">
        <v>17</v>
      </c>
      <c r="B35" s="17" t="s">
        <v>85</v>
      </c>
      <c r="C35" s="17" t="s">
        <v>33</v>
      </c>
      <c r="D35" s="18">
        <v>2</v>
      </c>
      <c r="E35" s="18">
        <v>2000</v>
      </c>
      <c r="F35" s="170">
        <v>962.53</v>
      </c>
      <c r="G35" s="170">
        <v>962.53</v>
      </c>
      <c r="I35" s="110"/>
    </row>
    <row r="36" spans="1:9" ht="18">
      <c r="A36" s="19" t="s">
        <v>34</v>
      </c>
      <c r="B36" s="19"/>
      <c r="C36" s="19"/>
      <c r="D36" s="19"/>
      <c r="E36" s="16">
        <f>SUM(E19:E33)</f>
        <v>30500</v>
      </c>
      <c r="F36" s="171">
        <f>SUM(F19:F35)</f>
        <v>14722.36</v>
      </c>
      <c r="G36" s="171">
        <f>SUM(G19:G35)</f>
        <v>14722.36</v>
      </c>
      <c r="I36" s="109"/>
    </row>
    <row r="37" spans="1:7" ht="18">
      <c r="A37" s="20"/>
      <c r="B37" s="20"/>
      <c r="C37" s="20"/>
      <c r="D37" s="20"/>
      <c r="E37" s="20"/>
      <c r="F37" s="20"/>
      <c r="G37" s="20"/>
    </row>
    <row r="38" spans="1:7" ht="18">
      <c r="A38" s="21"/>
      <c r="B38" s="20"/>
      <c r="C38" s="20"/>
      <c r="D38" s="20"/>
      <c r="E38" s="20"/>
      <c r="F38" s="20"/>
      <c r="G38" s="100"/>
    </row>
    <row r="39" spans="1:7" ht="18">
      <c r="A39" s="21"/>
      <c r="B39" s="20"/>
      <c r="C39" s="20"/>
      <c r="D39" s="20"/>
      <c r="E39" s="20"/>
      <c r="F39" s="20"/>
      <c r="G39" s="20"/>
    </row>
    <row r="40" spans="1:7" ht="18">
      <c r="A40" s="20"/>
      <c r="B40" s="20"/>
      <c r="C40" s="20"/>
      <c r="D40" s="20"/>
      <c r="E40" s="20"/>
      <c r="F40" s="20"/>
      <c r="G40" s="20"/>
    </row>
    <row r="41" spans="1:7" ht="18">
      <c r="A41" s="20"/>
      <c r="B41" s="20"/>
      <c r="C41" s="20"/>
      <c r="D41" s="20"/>
      <c r="E41" s="20"/>
      <c r="F41" s="20"/>
      <c r="G41" s="100"/>
    </row>
    <row r="42" spans="1:7" ht="18">
      <c r="A42" s="20"/>
      <c r="B42" s="20"/>
      <c r="C42" s="20"/>
      <c r="D42" s="20"/>
      <c r="E42" s="20"/>
      <c r="F42" s="20"/>
      <c r="G42" s="20"/>
    </row>
    <row r="43" spans="1:7" ht="18">
      <c r="A43" s="20"/>
      <c r="B43" s="20"/>
      <c r="C43" s="20"/>
      <c r="D43" s="20"/>
      <c r="E43" s="20"/>
      <c r="F43" s="20"/>
      <c r="G43" s="20"/>
    </row>
    <row r="44" spans="1:7" ht="18">
      <c r="A44" s="20"/>
      <c r="B44" s="20"/>
      <c r="C44" s="20"/>
      <c r="D44" s="20"/>
      <c r="E44" s="20"/>
      <c r="F44" s="20"/>
      <c r="G44" s="20"/>
    </row>
  </sheetData>
  <sheetProtection/>
  <mergeCells count="13">
    <mergeCell ref="F14:F17"/>
    <mergeCell ref="E9:G9"/>
    <mergeCell ref="A10:G10"/>
    <mergeCell ref="A11:G11"/>
    <mergeCell ref="B12:E12"/>
    <mergeCell ref="F12:G12"/>
    <mergeCell ref="F13:G13"/>
    <mergeCell ref="A2:G2"/>
    <mergeCell ref="A3:G3"/>
    <mergeCell ref="A4:G4"/>
    <mergeCell ref="A5:G5"/>
    <mergeCell ref="E7:G7"/>
    <mergeCell ref="E8:G8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0">
      <selection activeCell="F21" sqref="F21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8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41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31"/>
      <c r="C13" s="33"/>
      <c r="D13" s="33"/>
      <c r="E13" s="32"/>
      <c r="F13" s="163" t="s">
        <v>37</v>
      </c>
      <c r="G13" s="164"/>
    </row>
    <row r="14" spans="1:7" ht="18">
      <c r="A14" s="8"/>
      <c r="B14" s="30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32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7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f>E19-110-35-54-54-54-35-54-54-46-54-54-75-167</f>
        <v>1154</v>
      </c>
      <c r="G19" s="18">
        <f aca="true" t="shared" si="0" ref="G19:G24">F19</f>
        <v>1154</v>
      </c>
    </row>
    <row r="20" spans="1:7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f>E20-54-46-46-46-54-54-35-43-52-83-15-70-167</f>
        <v>1235</v>
      </c>
      <c r="G20" s="18">
        <f t="shared" si="0"/>
        <v>1235</v>
      </c>
    </row>
    <row r="21" spans="1:7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f>E21-54-34-46-34-41-46-54-54-46-54-167</f>
        <v>1370</v>
      </c>
      <c r="G21" s="18">
        <f t="shared" si="0"/>
        <v>1370</v>
      </c>
    </row>
    <row r="22" spans="1:7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f>E22-54-46-54-78-42-167</f>
        <v>1559</v>
      </c>
      <c r="G22" s="18">
        <f t="shared" si="0"/>
        <v>1559</v>
      </c>
    </row>
    <row r="23" spans="1:7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18">
        <f>E23-78-69-78-55-55-55-55-55-4-166</f>
        <v>1330</v>
      </c>
      <c r="G23" s="18">
        <f t="shared" si="0"/>
        <v>1330</v>
      </c>
    </row>
    <row r="24" spans="1:7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f>E24-166</f>
        <v>1834</v>
      </c>
      <c r="G24" s="18">
        <f t="shared" si="0"/>
        <v>1834</v>
      </c>
    </row>
    <row r="25" spans="1:7" ht="18">
      <c r="A25" s="19" t="s">
        <v>34</v>
      </c>
      <c r="B25" s="19"/>
      <c r="C25" s="19"/>
      <c r="D25" s="19"/>
      <c r="E25" s="16">
        <f>E19+E20+E21+E22+E23+E24</f>
        <v>12000</v>
      </c>
      <c r="F25" s="16">
        <f>SUM(F19:F24)</f>
        <v>8482</v>
      </c>
      <c r="G25" s="16">
        <f>G19+G20+G21+G22+G23+G24</f>
        <v>8482</v>
      </c>
    </row>
    <row r="26" spans="1:7" ht="18">
      <c r="A26" s="20"/>
      <c r="B26" s="20"/>
      <c r="C26" s="20"/>
      <c r="D26" s="20"/>
      <c r="E26" s="20"/>
      <c r="F26" s="20"/>
      <c r="G26" s="20"/>
    </row>
    <row r="27" spans="1:7" ht="18">
      <c r="A27" s="21" t="s">
        <v>36</v>
      </c>
      <c r="B27" s="20"/>
      <c r="C27" s="20"/>
      <c r="D27" s="20"/>
      <c r="E27" s="20"/>
      <c r="F27" s="20"/>
      <c r="G27" s="20"/>
    </row>
    <row r="28" spans="1:7" ht="18">
      <c r="A28" s="21" t="s">
        <v>35</v>
      </c>
      <c r="B28" s="20"/>
      <c r="C28" s="20"/>
      <c r="D28" s="20"/>
      <c r="E28" s="20"/>
      <c r="F28" s="20"/>
      <c r="G28" s="20"/>
    </row>
    <row r="29" spans="1:7" ht="18">
      <c r="A29" s="20"/>
      <c r="B29" s="20"/>
      <c r="C29" s="20"/>
      <c r="D29" s="20"/>
      <c r="E29" s="20"/>
      <c r="F29" s="20"/>
      <c r="G29" s="20"/>
    </row>
    <row r="30" spans="1:7" ht="18">
      <c r="A30" s="20"/>
      <c r="B30" s="20"/>
      <c r="C30" s="20"/>
      <c r="D30" s="20"/>
      <c r="E30" s="20"/>
      <c r="F30" s="20"/>
      <c r="G30" s="20"/>
    </row>
    <row r="31" spans="1:7" ht="18">
      <c r="A31" s="20"/>
      <c r="B31" s="20"/>
      <c r="C31" s="20"/>
      <c r="D31" s="20"/>
      <c r="E31" s="20"/>
      <c r="F31" s="20"/>
      <c r="G31" s="20"/>
    </row>
    <row r="32" spans="1:7" ht="18">
      <c r="A32" s="20"/>
      <c r="B32" s="20"/>
      <c r="C32" s="20"/>
      <c r="D32" s="20"/>
      <c r="E32" s="20"/>
      <c r="F32" s="20"/>
      <c r="G32" s="20"/>
    </row>
    <row r="33" spans="1:7" ht="18">
      <c r="A33" s="20"/>
      <c r="B33" s="20"/>
      <c r="C33" s="20"/>
      <c r="D33" s="20"/>
      <c r="E33" s="20"/>
      <c r="F33" s="20"/>
      <c r="G33" s="20"/>
    </row>
  </sheetData>
  <sheetProtection/>
  <mergeCells count="13">
    <mergeCell ref="F14:F17"/>
    <mergeCell ref="E9:G9"/>
    <mergeCell ref="A10:G10"/>
    <mergeCell ref="A11:G11"/>
    <mergeCell ref="B12:E12"/>
    <mergeCell ref="F12:G12"/>
    <mergeCell ref="F13:G13"/>
    <mergeCell ref="A2:G2"/>
    <mergeCell ref="A3:G3"/>
    <mergeCell ref="A4:G4"/>
    <mergeCell ref="A5:G5"/>
    <mergeCell ref="E7:G7"/>
    <mergeCell ref="E8:G8"/>
  </mergeCells>
  <printOptions/>
  <pageMargins left="0.5118110236220472" right="0.5118110236220472" top="0.5511811023622047" bottom="0.5511811023622047" header="0.31496062992125984" footer="0.31496062992125984"/>
  <pageSetup fitToHeight="1" fitToWidth="1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7">
      <selection activeCell="F19" sqref="F19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8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42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35"/>
      <c r="C13" s="37"/>
      <c r="D13" s="37"/>
      <c r="E13" s="36"/>
      <c r="F13" s="163" t="s">
        <v>37</v>
      </c>
      <c r="G13" s="164"/>
    </row>
    <row r="14" spans="1:7" ht="18">
      <c r="A14" s="8"/>
      <c r="B14" s="34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36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7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v>1154</v>
      </c>
      <c r="G19" s="18">
        <f>F19</f>
        <v>1154</v>
      </c>
    </row>
    <row r="20" spans="1:7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v>1235</v>
      </c>
      <c r="G20" s="18">
        <f>F20-15</f>
        <v>1220</v>
      </c>
    </row>
    <row r="21" spans="1:7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v>1370</v>
      </c>
      <c r="G21" s="18">
        <f>F21-15</f>
        <v>1355</v>
      </c>
    </row>
    <row r="22" spans="1:7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v>1559</v>
      </c>
      <c r="G22" s="18">
        <f>F22-233</f>
        <v>1326</v>
      </c>
    </row>
    <row r="23" spans="1:7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42">
        <f>E23-78-69-78-55-55-55-55-55-4-166</f>
        <v>1330</v>
      </c>
      <c r="G23" s="42">
        <f>F23</f>
        <v>1330</v>
      </c>
    </row>
    <row r="24" spans="1:7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f>1834</f>
        <v>1834</v>
      </c>
      <c r="G24" s="18">
        <f>F24-39-59-59-59-59-70-78-55</f>
        <v>1356</v>
      </c>
    </row>
    <row r="25" spans="1:7" ht="18">
      <c r="A25" s="19" t="s">
        <v>34</v>
      </c>
      <c r="B25" s="19"/>
      <c r="C25" s="19"/>
      <c r="D25" s="19"/>
      <c r="E25" s="16">
        <f>E19+E20+E21+E22+E23+E24</f>
        <v>12000</v>
      </c>
      <c r="F25" s="16">
        <f>SUM(F19:F24)</f>
        <v>8482</v>
      </c>
      <c r="G25" s="16">
        <f>G19+G20+G21+G22+G23+G24</f>
        <v>7741</v>
      </c>
    </row>
    <row r="26" spans="1:7" ht="18">
      <c r="A26" s="20"/>
      <c r="B26" s="20"/>
      <c r="C26" s="20"/>
      <c r="D26" s="20"/>
      <c r="E26" s="20"/>
      <c r="F26" s="20"/>
      <c r="G26" s="20"/>
    </row>
    <row r="27" spans="1:7" ht="18">
      <c r="A27" s="21" t="s">
        <v>36</v>
      </c>
      <c r="B27" s="20"/>
      <c r="C27" s="20"/>
      <c r="D27" s="20"/>
      <c r="E27" s="20"/>
      <c r="F27" s="20"/>
      <c r="G27" s="20"/>
    </row>
    <row r="28" spans="1:7" ht="18">
      <c r="A28" s="21" t="s">
        <v>35</v>
      </c>
      <c r="B28" s="20"/>
      <c r="C28" s="20"/>
      <c r="D28" s="20"/>
      <c r="E28" s="20"/>
      <c r="F28" s="20"/>
      <c r="G28" s="20"/>
    </row>
    <row r="29" spans="1:7" ht="18">
      <c r="A29" s="20"/>
      <c r="B29" s="20"/>
      <c r="C29" s="20"/>
      <c r="D29" s="20"/>
      <c r="E29" s="20"/>
      <c r="F29" s="20"/>
      <c r="G29" s="20"/>
    </row>
    <row r="30" spans="1:7" ht="18">
      <c r="A30" s="20"/>
      <c r="B30" s="20"/>
      <c r="C30" s="20"/>
      <c r="D30" s="20"/>
      <c r="E30" s="20"/>
      <c r="F30" s="20"/>
      <c r="G30" s="20"/>
    </row>
    <row r="31" spans="1:7" ht="18">
      <c r="A31" s="20"/>
      <c r="B31" s="20"/>
      <c r="C31" s="20"/>
      <c r="D31" s="20"/>
      <c r="E31" s="20"/>
      <c r="F31" s="20"/>
      <c r="G31" s="20"/>
    </row>
    <row r="32" spans="1:7" ht="18">
      <c r="A32" s="20"/>
      <c r="B32" s="20"/>
      <c r="C32" s="20"/>
      <c r="D32" s="20"/>
      <c r="E32" s="20"/>
      <c r="F32" s="20"/>
      <c r="G32" s="20"/>
    </row>
    <row r="33" spans="1:7" ht="18">
      <c r="A33" s="20"/>
      <c r="B33" s="20"/>
      <c r="C33" s="20"/>
      <c r="D33" s="20"/>
      <c r="E33" s="20"/>
      <c r="F33" s="20"/>
      <c r="G33" s="20"/>
    </row>
  </sheetData>
  <sheetProtection/>
  <mergeCells count="13">
    <mergeCell ref="A2:G2"/>
    <mergeCell ref="A3:G3"/>
    <mergeCell ref="A4:G4"/>
    <mergeCell ref="A5:G5"/>
    <mergeCell ref="E7:G7"/>
    <mergeCell ref="E8:G8"/>
    <mergeCell ref="F14:F17"/>
    <mergeCell ref="E9:G9"/>
    <mergeCell ref="A10:G10"/>
    <mergeCell ref="A11:G11"/>
    <mergeCell ref="B12:E12"/>
    <mergeCell ref="F12:G12"/>
    <mergeCell ref="F13:G13"/>
  </mergeCells>
  <printOptions/>
  <pageMargins left="0.5118110236220472" right="0.5118110236220472" top="0.5511811023622047" bottom="0.5511811023622047" header="0.31496062992125984" footer="0.31496062992125984"/>
  <pageSetup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0">
      <selection activeCell="G27" sqref="G27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8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43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39"/>
      <c r="C13" s="41"/>
      <c r="D13" s="41"/>
      <c r="E13" s="40"/>
      <c r="F13" s="163" t="s">
        <v>37</v>
      </c>
      <c r="G13" s="164"/>
    </row>
    <row r="14" spans="1:7" ht="18">
      <c r="A14" s="8"/>
      <c r="B14" s="38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40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7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f>1154</f>
        <v>1154</v>
      </c>
      <c r="G19" s="18">
        <f>F19+83</f>
        <v>1237</v>
      </c>
    </row>
    <row r="20" spans="1:7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f>1220</f>
        <v>1220</v>
      </c>
      <c r="G20" s="18">
        <f>F20+83-24</f>
        <v>1279</v>
      </c>
    </row>
    <row r="21" spans="1:7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f>1355</f>
        <v>1355</v>
      </c>
      <c r="G21" s="18">
        <f>F21+84</f>
        <v>1439</v>
      </c>
    </row>
    <row r="22" spans="1:7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f>1326</f>
        <v>1326</v>
      </c>
      <c r="G22" s="18">
        <f>F22+83-15-15-15-15</f>
        <v>1349</v>
      </c>
    </row>
    <row r="23" spans="1:7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42">
        <f>1330</f>
        <v>1330</v>
      </c>
      <c r="G23" s="42">
        <f>F23+83</f>
        <v>1413</v>
      </c>
    </row>
    <row r="24" spans="1:7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f>1356</f>
        <v>1356</v>
      </c>
      <c r="G24" s="18">
        <f>F24+84-15</f>
        <v>1425</v>
      </c>
    </row>
    <row r="25" spans="1:7" ht="18">
      <c r="A25" s="19" t="s">
        <v>34</v>
      </c>
      <c r="B25" s="19"/>
      <c r="C25" s="19"/>
      <c r="D25" s="19"/>
      <c r="E25" s="16">
        <f>E19+E20+E21+E22+E23+E24</f>
        <v>12000</v>
      </c>
      <c r="F25" s="16">
        <f>SUM(F19:F24)</f>
        <v>7741</v>
      </c>
      <c r="G25" s="16">
        <f>G19+G20+G21+G22+G23+G24</f>
        <v>8142</v>
      </c>
    </row>
    <row r="26" spans="1:7" ht="18">
      <c r="A26" s="20"/>
      <c r="B26" s="20"/>
      <c r="C26" s="20"/>
      <c r="D26" s="20"/>
      <c r="E26" s="20"/>
      <c r="F26" s="20"/>
      <c r="G26" s="20"/>
    </row>
    <row r="27" spans="1:7" ht="18">
      <c r="A27" s="21" t="s">
        <v>36</v>
      </c>
      <c r="B27" s="20"/>
      <c r="C27" s="20"/>
      <c r="D27" s="20"/>
      <c r="E27" s="20"/>
      <c r="F27" s="20"/>
      <c r="G27" s="20"/>
    </row>
    <row r="28" spans="1:7" ht="18">
      <c r="A28" s="21" t="s">
        <v>35</v>
      </c>
      <c r="B28" s="20"/>
      <c r="C28" s="20"/>
      <c r="D28" s="20"/>
      <c r="E28" s="20"/>
      <c r="F28" s="20"/>
      <c r="G28" s="20"/>
    </row>
    <row r="29" spans="1:7" ht="18">
      <c r="A29" s="20"/>
      <c r="B29" s="20"/>
      <c r="C29" s="20"/>
      <c r="D29" s="20"/>
      <c r="E29" s="20"/>
      <c r="F29" s="20"/>
      <c r="G29" s="20"/>
    </row>
    <row r="30" spans="1:7" ht="18">
      <c r="A30" s="20"/>
      <c r="B30" s="20"/>
      <c r="C30" s="20"/>
      <c r="D30" s="20"/>
      <c r="E30" s="20"/>
      <c r="F30" s="20"/>
      <c r="G30" s="20"/>
    </row>
    <row r="31" spans="1:7" ht="18">
      <c r="A31" s="20"/>
      <c r="B31" s="20"/>
      <c r="C31" s="20"/>
      <c r="D31" s="20"/>
      <c r="E31" s="20"/>
      <c r="F31" s="20"/>
      <c r="G31" s="20"/>
    </row>
    <row r="32" spans="1:7" ht="18">
      <c r="A32" s="20"/>
      <c r="B32" s="20"/>
      <c r="C32" s="20"/>
      <c r="D32" s="20"/>
      <c r="E32" s="20"/>
      <c r="F32" s="20"/>
      <c r="G32" s="20"/>
    </row>
    <row r="33" spans="1:7" ht="18">
      <c r="A33" s="20"/>
      <c r="B33" s="20"/>
      <c r="C33" s="20"/>
      <c r="D33" s="20"/>
      <c r="E33" s="20"/>
      <c r="F33" s="20"/>
      <c r="G33" s="20"/>
    </row>
  </sheetData>
  <sheetProtection/>
  <mergeCells count="13">
    <mergeCell ref="F14:F17"/>
    <mergeCell ref="E9:G9"/>
    <mergeCell ref="A10:G10"/>
    <mergeCell ref="A11:G11"/>
    <mergeCell ref="B12:E12"/>
    <mergeCell ref="F12:G12"/>
    <mergeCell ref="F13:G13"/>
    <mergeCell ref="A2:G2"/>
    <mergeCell ref="A3:G3"/>
    <mergeCell ref="A4:G4"/>
    <mergeCell ref="A5:G5"/>
    <mergeCell ref="E7:G7"/>
    <mergeCell ref="E8:G8"/>
  </mergeCells>
  <printOptions/>
  <pageMargins left="0.5118110236220472" right="0.5118110236220472" top="0.7480314960629921" bottom="0.7480314960629921" header="0.31496062992125984" footer="0.31496062992125984"/>
  <pageSetup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5">
      <selection activeCell="G25" sqref="G25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8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44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44"/>
      <c r="C13" s="46"/>
      <c r="D13" s="46"/>
      <c r="E13" s="45"/>
      <c r="F13" s="163" t="s">
        <v>37</v>
      </c>
      <c r="G13" s="164"/>
    </row>
    <row r="14" spans="1:7" ht="18">
      <c r="A14" s="8"/>
      <c r="B14" s="43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45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7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f>1237</f>
        <v>1237</v>
      </c>
      <c r="G19" s="18">
        <f>F19</f>
        <v>1237</v>
      </c>
    </row>
    <row r="20" spans="1:7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f>1279</f>
        <v>1279</v>
      </c>
      <c r="G20" s="18">
        <f>F20-24</f>
        <v>1255</v>
      </c>
    </row>
    <row r="21" spans="1:7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v>1439</v>
      </c>
      <c r="G21" s="18">
        <f>F21</f>
        <v>1439</v>
      </c>
    </row>
    <row r="22" spans="1:7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v>1349</v>
      </c>
      <c r="G22" s="18">
        <f>F22</f>
        <v>1349</v>
      </c>
    </row>
    <row r="23" spans="1:7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42">
        <v>1343</v>
      </c>
      <c r="G23" s="18">
        <f>F23</f>
        <v>1343</v>
      </c>
    </row>
    <row r="24" spans="1:7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v>1507</v>
      </c>
      <c r="G24" s="18">
        <f>F24</f>
        <v>1507</v>
      </c>
    </row>
    <row r="25" spans="1:7" ht="18">
      <c r="A25" s="19" t="s">
        <v>34</v>
      </c>
      <c r="B25" s="19"/>
      <c r="C25" s="19"/>
      <c r="D25" s="19"/>
      <c r="E25" s="16">
        <f>E19+E20+E21+E22+E23+E24</f>
        <v>12000</v>
      </c>
      <c r="F25" s="16">
        <f>SUM(F19:F24)</f>
        <v>8154</v>
      </c>
      <c r="G25" s="16">
        <f>G19+G20+G21+G22+G23+G24</f>
        <v>8130</v>
      </c>
    </row>
    <row r="26" spans="1:7" ht="18">
      <c r="A26" s="20"/>
      <c r="B26" s="20"/>
      <c r="C26" s="20"/>
      <c r="D26" s="20"/>
      <c r="E26" s="20"/>
      <c r="F26" s="20"/>
      <c r="G26" s="20"/>
    </row>
    <row r="27" spans="1:7" ht="18">
      <c r="A27" s="21" t="s">
        <v>36</v>
      </c>
      <c r="B27" s="20"/>
      <c r="C27" s="20"/>
      <c r="D27" s="20"/>
      <c r="E27" s="20"/>
      <c r="F27" s="20"/>
      <c r="G27" s="20"/>
    </row>
    <row r="28" spans="1:7" ht="18">
      <c r="A28" s="21" t="s">
        <v>35</v>
      </c>
      <c r="B28" s="20"/>
      <c r="C28" s="20"/>
      <c r="D28" s="20"/>
      <c r="E28" s="20"/>
      <c r="F28" s="20"/>
      <c r="G28" s="20"/>
    </row>
    <row r="29" spans="1:7" ht="18">
      <c r="A29" s="20"/>
      <c r="B29" s="20"/>
      <c r="C29" s="20"/>
      <c r="D29" s="20"/>
      <c r="E29" s="20"/>
      <c r="F29" s="20"/>
      <c r="G29" s="20"/>
    </row>
    <row r="30" spans="1:7" ht="18">
      <c r="A30" s="20"/>
      <c r="B30" s="20"/>
      <c r="C30" s="20"/>
      <c r="D30" s="20"/>
      <c r="E30" s="20"/>
      <c r="F30" s="20"/>
      <c r="G30" s="20"/>
    </row>
    <row r="31" spans="1:7" ht="18">
      <c r="A31" s="20"/>
      <c r="B31" s="20"/>
      <c r="C31" s="20"/>
      <c r="D31" s="20"/>
      <c r="E31" s="20"/>
      <c r="F31" s="20"/>
      <c r="G31" s="20"/>
    </row>
    <row r="32" spans="1:7" ht="18">
      <c r="A32" s="20"/>
      <c r="B32" s="20"/>
      <c r="C32" s="20"/>
      <c r="D32" s="20"/>
      <c r="E32" s="20"/>
      <c r="F32" s="20"/>
      <c r="G32" s="20"/>
    </row>
    <row r="33" spans="1:7" ht="18">
      <c r="A33" s="20"/>
      <c r="B33" s="20"/>
      <c r="C33" s="20"/>
      <c r="D33" s="20"/>
      <c r="E33" s="20"/>
      <c r="F33" s="20"/>
      <c r="G33" s="20"/>
    </row>
  </sheetData>
  <sheetProtection/>
  <mergeCells count="13">
    <mergeCell ref="A2:G2"/>
    <mergeCell ref="A3:G3"/>
    <mergeCell ref="A4:G4"/>
    <mergeCell ref="A5:G5"/>
    <mergeCell ref="E7:G7"/>
    <mergeCell ref="E8:G8"/>
    <mergeCell ref="F14:F17"/>
    <mergeCell ref="E9:G9"/>
    <mergeCell ref="A10:G10"/>
    <mergeCell ref="A11:G11"/>
    <mergeCell ref="B12:E12"/>
    <mergeCell ref="F12:G12"/>
    <mergeCell ref="F13:G13"/>
  </mergeCells>
  <printOptions/>
  <pageMargins left="0.5118110236220472" right="0.5118110236220472" top="0.7480314960629921" bottom="0.7480314960629921" header="0.31496062992125984" footer="0.31496062992125984"/>
  <pageSetup fitToHeight="1" fitToWidth="1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3">
      <selection activeCell="F19" sqref="F19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8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45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48"/>
      <c r="C13" s="50"/>
      <c r="D13" s="50"/>
      <c r="E13" s="49"/>
      <c r="F13" s="163" t="s">
        <v>37</v>
      </c>
      <c r="G13" s="164"/>
    </row>
    <row r="14" spans="1:7" ht="18">
      <c r="A14" s="8"/>
      <c r="B14" s="47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49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7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f>1237</f>
        <v>1237</v>
      </c>
      <c r="G19" s="18">
        <f>F19</f>
        <v>1237</v>
      </c>
    </row>
    <row r="20" spans="1:7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f>1273</f>
        <v>1273</v>
      </c>
      <c r="G20" s="18">
        <f>F20</f>
        <v>1273</v>
      </c>
    </row>
    <row r="21" spans="1:7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f>1412</f>
        <v>1412</v>
      </c>
      <c r="G21" s="18">
        <f>F21-15</f>
        <v>1397</v>
      </c>
    </row>
    <row r="22" spans="1:7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f>1364</f>
        <v>1364</v>
      </c>
      <c r="G22" s="18">
        <f>F22-15</f>
        <v>1349</v>
      </c>
    </row>
    <row r="23" spans="1:7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42">
        <v>1343</v>
      </c>
      <c r="G23" s="18">
        <f>F23</f>
        <v>1343</v>
      </c>
    </row>
    <row r="24" spans="1:7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v>1471</v>
      </c>
      <c r="G24" s="18">
        <f>F24-41</f>
        <v>1430</v>
      </c>
    </row>
    <row r="25" spans="1:7" ht="18">
      <c r="A25" s="19" t="s">
        <v>34</v>
      </c>
      <c r="B25" s="19"/>
      <c r="C25" s="19"/>
      <c r="D25" s="19"/>
      <c r="E25" s="16">
        <f>E19+E20+E21+E22+E23+E24</f>
        <v>12000</v>
      </c>
      <c r="F25" s="16">
        <f>SUM(F19:F24)</f>
        <v>8100</v>
      </c>
      <c r="G25" s="16">
        <f>G19+G20+G21+G22+G23+G24</f>
        <v>8029</v>
      </c>
    </row>
    <row r="26" spans="1:7" ht="18">
      <c r="A26" s="20"/>
      <c r="B26" s="20"/>
      <c r="C26" s="20"/>
      <c r="D26" s="20"/>
      <c r="E26" s="20"/>
      <c r="F26" s="20"/>
      <c r="G26" s="20"/>
    </row>
    <row r="27" spans="1:7" ht="18">
      <c r="A27" s="21" t="s">
        <v>36</v>
      </c>
      <c r="B27" s="20"/>
      <c r="C27" s="20"/>
      <c r="D27" s="20"/>
      <c r="E27" s="20"/>
      <c r="F27" s="20"/>
      <c r="G27" s="20"/>
    </row>
    <row r="28" spans="1:7" ht="18">
      <c r="A28" s="21" t="s">
        <v>35</v>
      </c>
      <c r="B28" s="20"/>
      <c r="C28" s="20"/>
      <c r="D28" s="20"/>
      <c r="E28" s="20"/>
      <c r="F28" s="20"/>
      <c r="G28" s="20"/>
    </row>
    <row r="29" spans="1:7" ht="18">
      <c r="A29" s="20"/>
      <c r="B29" s="20"/>
      <c r="C29" s="20"/>
      <c r="D29" s="20"/>
      <c r="E29" s="20"/>
      <c r="F29" s="20"/>
      <c r="G29" s="20"/>
    </row>
    <row r="30" spans="1:7" ht="18">
      <c r="A30" s="20"/>
      <c r="B30" s="20"/>
      <c r="C30" s="20"/>
      <c r="D30" s="20"/>
      <c r="E30" s="20"/>
      <c r="F30" s="20"/>
      <c r="G30" s="20"/>
    </row>
    <row r="31" spans="1:7" ht="18">
      <c r="A31" s="20"/>
      <c r="B31" s="20"/>
      <c r="C31" s="20"/>
      <c r="D31" s="20"/>
      <c r="E31" s="20"/>
      <c r="F31" s="20"/>
      <c r="G31" s="20"/>
    </row>
    <row r="32" spans="1:7" ht="18">
      <c r="A32" s="20"/>
      <c r="B32" s="20"/>
      <c r="C32" s="20"/>
      <c r="D32" s="20"/>
      <c r="E32" s="20"/>
      <c r="F32" s="20"/>
      <c r="G32" s="20"/>
    </row>
    <row r="33" spans="1:7" ht="18">
      <c r="A33" s="20"/>
      <c r="B33" s="20"/>
      <c r="C33" s="20"/>
      <c r="D33" s="20"/>
      <c r="E33" s="20"/>
      <c r="F33" s="20"/>
      <c r="G33" s="20"/>
    </row>
  </sheetData>
  <sheetProtection/>
  <mergeCells count="13">
    <mergeCell ref="A2:G2"/>
    <mergeCell ref="A3:G3"/>
    <mergeCell ref="A4:G4"/>
    <mergeCell ref="A5:G5"/>
    <mergeCell ref="E7:G7"/>
    <mergeCell ref="E8:G8"/>
    <mergeCell ref="F14:F17"/>
    <mergeCell ref="E9:G9"/>
    <mergeCell ref="A10:G10"/>
    <mergeCell ref="A11:G11"/>
    <mergeCell ref="B12:E12"/>
    <mergeCell ref="F12:G12"/>
    <mergeCell ref="F13:G1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6">
      <selection activeCell="G24" sqref="G24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4.8515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5.7109375" style="1" customWidth="1"/>
    <col min="8" max="16384" width="9.140625" style="1" customWidth="1"/>
  </cols>
  <sheetData>
    <row r="1" ht="18">
      <c r="G1" s="15" t="s">
        <v>0</v>
      </c>
    </row>
    <row r="2" spans="1:7" ht="18">
      <c r="A2" s="169" t="s">
        <v>1</v>
      </c>
      <c r="B2" s="169"/>
      <c r="C2" s="169"/>
      <c r="D2" s="169"/>
      <c r="E2" s="169"/>
      <c r="F2" s="169"/>
      <c r="G2" s="169"/>
    </row>
    <row r="3" spans="1:7" ht="18">
      <c r="A3" s="169" t="s">
        <v>2</v>
      </c>
      <c r="B3" s="169"/>
      <c r="C3" s="169"/>
      <c r="D3" s="169"/>
      <c r="E3" s="169"/>
      <c r="F3" s="169"/>
      <c r="G3" s="169"/>
    </row>
    <row r="4" spans="1:7" ht="18">
      <c r="A4" s="169" t="s">
        <v>3</v>
      </c>
      <c r="B4" s="169"/>
      <c r="C4" s="169"/>
      <c r="D4" s="169"/>
      <c r="E4" s="169"/>
      <c r="F4" s="169"/>
      <c r="G4" s="169"/>
    </row>
    <row r="5" spans="1:7" ht="18">
      <c r="A5" s="169" t="s">
        <v>4</v>
      </c>
      <c r="B5" s="169"/>
      <c r="C5" s="169"/>
      <c r="D5" s="169"/>
      <c r="E5" s="169"/>
      <c r="F5" s="169"/>
      <c r="G5" s="169"/>
    </row>
    <row r="7" spans="1:7" ht="18">
      <c r="A7" s="2" t="s">
        <v>5</v>
      </c>
      <c r="B7" s="3"/>
      <c r="C7" s="3"/>
      <c r="D7" s="3"/>
      <c r="E7" s="166" t="s">
        <v>40</v>
      </c>
      <c r="F7" s="167"/>
      <c r="G7" s="168"/>
    </row>
    <row r="8" spans="1:7" ht="18">
      <c r="A8" s="2" t="s">
        <v>6</v>
      </c>
      <c r="B8" s="3"/>
      <c r="C8" s="3"/>
      <c r="D8" s="4"/>
      <c r="E8" s="166">
        <v>4028055470</v>
      </c>
      <c r="F8" s="167"/>
      <c r="G8" s="168"/>
    </row>
    <row r="9" spans="1:7" ht="18">
      <c r="A9" s="2" t="s">
        <v>7</v>
      </c>
      <c r="B9" s="3"/>
      <c r="C9" s="3"/>
      <c r="D9" s="4"/>
      <c r="E9" s="166" t="s">
        <v>8</v>
      </c>
      <c r="F9" s="167"/>
      <c r="G9" s="168"/>
    </row>
    <row r="10" spans="1:7" ht="18">
      <c r="A10" s="157" t="s">
        <v>9</v>
      </c>
      <c r="B10" s="158"/>
      <c r="C10" s="158"/>
      <c r="D10" s="158"/>
      <c r="E10" s="158"/>
      <c r="F10" s="158"/>
      <c r="G10" s="159"/>
    </row>
    <row r="11" spans="1:7" ht="18">
      <c r="A11" s="163" t="s">
        <v>46</v>
      </c>
      <c r="B11" s="165"/>
      <c r="C11" s="165"/>
      <c r="D11" s="165"/>
      <c r="E11" s="165"/>
      <c r="F11" s="165"/>
      <c r="G11" s="164"/>
    </row>
    <row r="12" spans="1:7" ht="18">
      <c r="A12" s="7" t="s">
        <v>11</v>
      </c>
      <c r="B12" s="157" t="s">
        <v>13</v>
      </c>
      <c r="C12" s="158"/>
      <c r="D12" s="158"/>
      <c r="E12" s="159"/>
      <c r="F12" s="157" t="s">
        <v>21</v>
      </c>
      <c r="G12" s="159"/>
    </row>
    <row r="13" spans="1:7" ht="18">
      <c r="A13" s="8" t="s">
        <v>12</v>
      </c>
      <c r="B13" s="52"/>
      <c r="C13" s="54"/>
      <c r="D13" s="54"/>
      <c r="E13" s="53"/>
      <c r="F13" s="163" t="s">
        <v>37</v>
      </c>
      <c r="G13" s="164"/>
    </row>
    <row r="14" spans="1:7" ht="18">
      <c r="A14" s="8"/>
      <c r="B14" s="51" t="s">
        <v>14</v>
      </c>
      <c r="C14" s="7" t="s">
        <v>15</v>
      </c>
      <c r="D14" s="7" t="s">
        <v>17</v>
      </c>
      <c r="E14" s="7" t="s">
        <v>20</v>
      </c>
      <c r="F14" s="160" t="s">
        <v>26</v>
      </c>
      <c r="G14" s="7" t="s">
        <v>22</v>
      </c>
    </row>
    <row r="15" spans="1:7" ht="18">
      <c r="A15" s="8"/>
      <c r="B15" s="11"/>
      <c r="C15" s="8" t="s">
        <v>16</v>
      </c>
      <c r="D15" s="8" t="s">
        <v>18</v>
      </c>
      <c r="E15" s="5"/>
      <c r="F15" s="161"/>
      <c r="G15" s="8" t="s">
        <v>23</v>
      </c>
    </row>
    <row r="16" spans="1:7" ht="18">
      <c r="A16" s="8"/>
      <c r="B16" s="11"/>
      <c r="C16" s="8"/>
      <c r="D16" s="8" t="s">
        <v>19</v>
      </c>
      <c r="E16" s="5"/>
      <c r="F16" s="161"/>
      <c r="G16" s="8" t="s">
        <v>24</v>
      </c>
    </row>
    <row r="17" spans="1:7" ht="18">
      <c r="A17" s="9"/>
      <c r="B17" s="53"/>
      <c r="C17" s="9"/>
      <c r="D17" s="9"/>
      <c r="E17" s="6"/>
      <c r="F17" s="162"/>
      <c r="G17" s="9" t="s">
        <v>25</v>
      </c>
    </row>
    <row r="18" spans="1:7" ht="18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7" ht="18">
      <c r="A19" s="17">
        <v>1</v>
      </c>
      <c r="B19" s="17" t="s">
        <v>27</v>
      </c>
      <c r="C19" s="17" t="s">
        <v>33</v>
      </c>
      <c r="D19" s="18">
        <v>2</v>
      </c>
      <c r="E19" s="18">
        <v>2000</v>
      </c>
      <c r="F19" s="18">
        <f>1237</f>
        <v>1237</v>
      </c>
      <c r="G19" s="18">
        <f>F19</f>
        <v>1237</v>
      </c>
    </row>
    <row r="20" spans="1:7" ht="18">
      <c r="A20" s="17">
        <v>2</v>
      </c>
      <c r="B20" s="17" t="s">
        <v>28</v>
      </c>
      <c r="C20" s="17" t="s">
        <v>33</v>
      </c>
      <c r="D20" s="18">
        <v>2</v>
      </c>
      <c r="E20" s="18">
        <v>2000</v>
      </c>
      <c r="F20" s="18">
        <f>1273</f>
        <v>1273</v>
      </c>
      <c r="G20" s="18">
        <f>F20</f>
        <v>1273</v>
      </c>
    </row>
    <row r="21" spans="1:7" ht="18">
      <c r="A21" s="17">
        <v>3</v>
      </c>
      <c r="B21" s="17" t="s">
        <v>29</v>
      </c>
      <c r="C21" s="17" t="s">
        <v>33</v>
      </c>
      <c r="D21" s="18">
        <v>2</v>
      </c>
      <c r="E21" s="18">
        <v>2000</v>
      </c>
      <c r="F21" s="18">
        <v>1397</v>
      </c>
      <c r="G21" s="18">
        <f>F21-15</f>
        <v>1382</v>
      </c>
    </row>
    <row r="22" spans="1:7" ht="18">
      <c r="A22" s="17">
        <v>4</v>
      </c>
      <c r="B22" s="17" t="s">
        <v>30</v>
      </c>
      <c r="C22" s="17" t="s">
        <v>33</v>
      </c>
      <c r="D22" s="18">
        <v>2</v>
      </c>
      <c r="E22" s="18">
        <v>2000</v>
      </c>
      <c r="F22" s="18">
        <v>1349</v>
      </c>
      <c r="G22" s="18">
        <f>F22</f>
        <v>1349</v>
      </c>
    </row>
    <row r="23" spans="1:7" ht="18">
      <c r="A23" s="17">
        <v>5</v>
      </c>
      <c r="B23" s="17" t="s">
        <v>31</v>
      </c>
      <c r="C23" s="17" t="s">
        <v>33</v>
      </c>
      <c r="D23" s="18">
        <v>2</v>
      </c>
      <c r="E23" s="18">
        <v>2000</v>
      </c>
      <c r="F23" s="42">
        <v>1343</v>
      </c>
      <c r="G23" s="18">
        <f>F23-70</f>
        <v>1273</v>
      </c>
    </row>
    <row r="24" spans="1:7" ht="18">
      <c r="A24" s="17">
        <v>6</v>
      </c>
      <c r="B24" s="17" t="s">
        <v>32</v>
      </c>
      <c r="C24" s="17" t="s">
        <v>33</v>
      </c>
      <c r="D24" s="18">
        <v>2</v>
      </c>
      <c r="E24" s="18">
        <v>2000</v>
      </c>
      <c r="F24" s="18">
        <v>1430</v>
      </c>
      <c r="G24" s="18">
        <f>F24</f>
        <v>1430</v>
      </c>
    </row>
    <row r="25" spans="1:7" ht="18">
      <c r="A25" s="17">
        <v>7</v>
      </c>
      <c r="B25" s="17" t="s">
        <v>47</v>
      </c>
      <c r="C25" s="17" t="s">
        <v>33</v>
      </c>
      <c r="D25" s="18">
        <v>2</v>
      </c>
      <c r="E25" s="18">
        <f>1250*2</f>
        <v>2500</v>
      </c>
      <c r="F25" s="18">
        <v>2500</v>
      </c>
      <c r="G25" s="18">
        <f>F25-729</f>
        <v>1771</v>
      </c>
    </row>
    <row r="26" spans="1:7" ht="18">
      <c r="A26" s="17">
        <v>8</v>
      </c>
      <c r="B26" s="17" t="s">
        <v>48</v>
      </c>
      <c r="C26" s="17" t="s">
        <v>33</v>
      </c>
      <c r="D26" s="18">
        <v>2</v>
      </c>
      <c r="E26" s="18">
        <f>1000*2</f>
        <v>2000</v>
      </c>
      <c r="F26" s="18">
        <v>2000</v>
      </c>
      <c r="G26" s="18">
        <v>2000</v>
      </c>
    </row>
    <row r="27" spans="1:7" ht="18">
      <c r="A27" s="17">
        <v>9</v>
      </c>
      <c r="B27" s="17" t="s">
        <v>49</v>
      </c>
      <c r="C27" s="17" t="s">
        <v>33</v>
      </c>
      <c r="D27" s="18">
        <v>2</v>
      </c>
      <c r="E27" s="18">
        <f>1000*2</f>
        <v>2000</v>
      </c>
      <c r="F27" s="18">
        <v>2000</v>
      </c>
      <c r="G27" s="18">
        <v>2000</v>
      </c>
    </row>
    <row r="28" spans="1:7" ht="18">
      <c r="A28" s="19" t="s">
        <v>34</v>
      </c>
      <c r="B28" s="19"/>
      <c r="C28" s="19"/>
      <c r="D28" s="19"/>
      <c r="E28" s="16">
        <f>SUM(E19:E27)</f>
        <v>18500</v>
      </c>
      <c r="F28" s="16">
        <f>SUM(F19:F27)</f>
        <v>14529</v>
      </c>
      <c r="G28" s="16">
        <f>SUM(G19:G27)</f>
        <v>13715</v>
      </c>
    </row>
    <row r="29" spans="1:7" ht="18">
      <c r="A29" s="20"/>
      <c r="B29" s="20"/>
      <c r="C29" s="20"/>
      <c r="D29" s="20"/>
      <c r="E29" s="20"/>
      <c r="F29" s="20"/>
      <c r="G29" s="20"/>
    </row>
    <row r="30" spans="1:7" ht="18">
      <c r="A30" s="21" t="s">
        <v>50</v>
      </c>
      <c r="B30" s="20"/>
      <c r="C30" s="20"/>
      <c r="D30" s="20"/>
      <c r="E30" s="20"/>
      <c r="F30" s="20"/>
      <c r="G30" s="20"/>
    </row>
    <row r="31" spans="1:7" ht="18">
      <c r="A31" s="21" t="s">
        <v>35</v>
      </c>
      <c r="B31" s="20"/>
      <c r="C31" s="20"/>
      <c r="D31" s="20"/>
      <c r="E31" s="20"/>
      <c r="F31" s="20"/>
      <c r="G31" s="20"/>
    </row>
    <row r="32" spans="1:7" ht="18">
      <c r="A32" s="20"/>
      <c r="B32" s="20"/>
      <c r="C32" s="20"/>
      <c r="D32" s="20"/>
      <c r="E32" s="20"/>
      <c r="F32" s="20"/>
      <c r="G32" s="20"/>
    </row>
    <row r="33" spans="1:7" ht="18">
      <c r="A33" s="20"/>
      <c r="B33" s="20"/>
      <c r="C33" s="20"/>
      <c r="D33" s="20"/>
      <c r="E33" s="20"/>
      <c r="F33" s="20"/>
      <c r="G33" s="20"/>
    </row>
    <row r="34" spans="1:7" ht="18">
      <c r="A34" s="20"/>
      <c r="B34" s="20"/>
      <c r="C34" s="20"/>
      <c r="D34" s="20"/>
      <c r="E34" s="20"/>
      <c r="F34" s="20"/>
      <c r="G34" s="20"/>
    </row>
    <row r="35" spans="1:7" ht="18">
      <c r="A35" s="20"/>
      <c r="B35" s="20"/>
      <c r="C35" s="20"/>
      <c r="D35" s="20"/>
      <c r="E35" s="20"/>
      <c r="F35" s="20"/>
      <c r="G35" s="20"/>
    </row>
    <row r="36" spans="1:7" ht="18">
      <c r="A36" s="20"/>
      <c r="B36" s="20"/>
      <c r="C36" s="20"/>
      <c r="D36" s="20"/>
      <c r="E36" s="20"/>
      <c r="F36" s="20"/>
      <c r="G36" s="20"/>
    </row>
  </sheetData>
  <sheetProtection/>
  <mergeCells count="13">
    <mergeCell ref="F14:F17"/>
    <mergeCell ref="E9:G9"/>
    <mergeCell ref="A10:G10"/>
    <mergeCell ref="A11:G11"/>
    <mergeCell ref="B12:E12"/>
    <mergeCell ref="F12:G12"/>
    <mergeCell ref="F13:G13"/>
    <mergeCell ref="A2:G2"/>
    <mergeCell ref="A3:G3"/>
    <mergeCell ref="A4:G4"/>
    <mergeCell ref="A5:G5"/>
    <mergeCell ref="E7:G7"/>
    <mergeCell ref="E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2024-02-13T13:29:26Z</dcterms:modified>
  <cp:category/>
  <cp:version/>
  <cp:contentType/>
  <cp:contentStatus/>
</cp:coreProperties>
</file>